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codeName="ThisWorkbook" autoCompressPictures="0"/>
  <bookViews>
    <workbookView xWindow="80" yWindow="0" windowWidth="47500" windowHeight="26540" tabRatio="87"/>
  </bookViews>
  <sheets>
    <sheet name="GRAN_Method" sheetId="20" r:id="rId1"/>
    <sheet name="3rd Order (Y_Factor)" sheetId="18" state="hidden" r:id="rId2"/>
    <sheet name="6th Order (Y_Factor)" sheetId="12" state="hidden" r:id="rId3"/>
  </sheets>
  <definedNames>
    <definedName name="_xlnm.Print_Area" localSheetId="0">GRAN_Method!$A$1:$M$74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20" l="1"/>
  <c r="H128" i="20"/>
  <c r="H129" i="20"/>
  <c r="H130" i="20"/>
  <c r="H131" i="20"/>
  <c r="H132" i="20"/>
  <c r="H133" i="20"/>
  <c r="H134" i="20"/>
  <c r="H135" i="20"/>
  <c r="H136" i="20"/>
  <c r="H137" i="20"/>
  <c r="H138" i="20"/>
  <c r="H139" i="20"/>
  <c r="H140" i="20"/>
  <c r="H141" i="20"/>
  <c r="H142" i="20"/>
  <c r="H143" i="20"/>
  <c r="H144" i="20"/>
  <c r="H145" i="20"/>
  <c r="H146" i="20"/>
  <c r="H147" i="20"/>
  <c r="H148" i="20"/>
  <c r="H149" i="20"/>
  <c r="H150" i="20"/>
  <c r="H151" i="20"/>
  <c r="H152" i="20"/>
  <c r="H153" i="20"/>
  <c r="H154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69" i="20"/>
  <c r="H170" i="20"/>
  <c r="H171" i="20"/>
  <c r="H172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187" i="20"/>
  <c r="H188" i="20"/>
  <c r="H189" i="20"/>
  <c r="H190" i="20"/>
  <c r="H191" i="20"/>
  <c r="H192" i="20"/>
  <c r="H193" i="20"/>
  <c r="H194" i="20"/>
  <c r="H195" i="20"/>
  <c r="H196" i="20"/>
  <c r="H197" i="20"/>
  <c r="H198" i="20"/>
  <c r="H199" i="20"/>
  <c r="H200" i="20"/>
  <c r="H201" i="20"/>
  <c r="H202" i="20"/>
  <c r="H203" i="20"/>
  <c r="H204" i="20"/>
  <c r="H205" i="20"/>
  <c r="H206" i="20"/>
  <c r="H207" i="20"/>
  <c r="H208" i="20"/>
  <c r="H209" i="20"/>
  <c r="H210" i="20"/>
  <c r="H211" i="20"/>
  <c r="H127" i="20"/>
  <c r="J128" i="20"/>
  <c r="J129" i="20"/>
  <c r="J130" i="20"/>
  <c r="J131" i="20"/>
  <c r="J132" i="20"/>
  <c r="J133" i="20"/>
  <c r="J134" i="20"/>
  <c r="J135" i="20"/>
  <c r="J136" i="20"/>
  <c r="J137" i="20"/>
  <c r="J138" i="20"/>
  <c r="J139" i="20"/>
  <c r="J140" i="20"/>
  <c r="J141" i="20"/>
  <c r="J142" i="20"/>
  <c r="J143" i="20"/>
  <c r="J144" i="20"/>
  <c r="J145" i="20"/>
  <c r="J146" i="20"/>
  <c r="J147" i="20"/>
  <c r="J148" i="20"/>
  <c r="J149" i="20"/>
  <c r="J150" i="20"/>
  <c r="J151" i="20"/>
  <c r="J152" i="20"/>
  <c r="J153" i="20"/>
  <c r="J154" i="20"/>
  <c r="J155" i="20"/>
  <c r="J156" i="20"/>
  <c r="J157" i="20"/>
  <c r="J158" i="20"/>
  <c r="J159" i="20"/>
  <c r="J160" i="20"/>
  <c r="J161" i="20"/>
  <c r="J162" i="20"/>
  <c r="J163" i="20"/>
  <c r="J164" i="20"/>
  <c r="J165" i="20"/>
  <c r="J166" i="20"/>
  <c r="J167" i="20"/>
  <c r="J168" i="20"/>
  <c r="J169" i="20"/>
  <c r="J170" i="20"/>
  <c r="J171" i="20"/>
  <c r="J172" i="20"/>
  <c r="J173" i="20"/>
  <c r="J174" i="20"/>
  <c r="J175" i="20"/>
  <c r="J176" i="20"/>
  <c r="J177" i="20"/>
  <c r="J178" i="20"/>
  <c r="J179" i="20"/>
  <c r="J180" i="20"/>
  <c r="J181" i="20"/>
  <c r="J182" i="20"/>
  <c r="J183" i="20"/>
  <c r="J184" i="20"/>
  <c r="J185" i="20"/>
  <c r="J186" i="20"/>
  <c r="J187" i="20"/>
  <c r="J188" i="20"/>
  <c r="J189" i="20"/>
  <c r="J190" i="20"/>
  <c r="J191" i="20"/>
  <c r="J192" i="20"/>
  <c r="J193" i="20"/>
  <c r="J194" i="20"/>
  <c r="J195" i="20"/>
  <c r="J196" i="20"/>
  <c r="J197" i="20"/>
  <c r="J198" i="20"/>
  <c r="J199" i="20"/>
  <c r="J200" i="20"/>
  <c r="J201" i="20"/>
  <c r="J202" i="20"/>
  <c r="J203" i="20"/>
  <c r="J204" i="20"/>
  <c r="J205" i="20"/>
  <c r="J206" i="20"/>
  <c r="J207" i="20"/>
  <c r="J208" i="20"/>
  <c r="J209" i="20"/>
  <c r="J210" i="20"/>
  <c r="J211" i="20"/>
  <c r="J127" i="20"/>
  <c r="J126" i="20"/>
  <c r="H213" i="20"/>
  <c r="H27" i="20"/>
  <c r="L213" i="20"/>
  <c r="F128" i="20"/>
  <c r="G128" i="20"/>
  <c r="H16" i="20"/>
  <c r="H17" i="20"/>
  <c r="H18" i="20"/>
  <c r="H19" i="20"/>
  <c r="H20" i="20"/>
  <c r="H21" i="20"/>
  <c r="H22" i="20"/>
  <c r="H23" i="20"/>
  <c r="H24" i="20"/>
  <c r="H25" i="20"/>
  <c r="C29" i="20"/>
  <c r="C40" i="20"/>
  <c r="H37" i="20"/>
  <c r="H38" i="20"/>
  <c r="H39" i="20"/>
  <c r="L128" i="20"/>
  <c r="F129" i="20"/>
  <c r="G129" i="20"/>
  <c r="L129" i="20"/>
  <c r="F130" i="20"/>
  <c r="G130" i="20"/>
  <c r="L130" i="20"/>
  <c r="F131" i="20"/>
  <c r="G131" i="20"/>
  <c r="L131" i="20"/>
  <c r="F132" i="20"/>
  <c r="G132" i="20"/>
  <c r="L132" i="20"/>
  <c r="F133" i="20"/>
  <c r="G133" i="20"/>
  <c r="L133" i="20"/>
  <c r="F134" i="20"/>
  <c r="G134" i="20"/>
  <c r="L134" i="20"/>
  <c r="F135" i="20"/>
  <c r="G135" i="20"/>
  <c r="L135" i="20"/>
  <c r="F136" i="20"/>
  <c r="G136" i="20"/>
  <c r="L136" i="20"/>
  <c r="F137" i="20"/>
  <c r="G137" i="20"/>
  <c r="L137" i="20"/>
  <c r="F138" i="20"/>
  <c r="G138" i="20"/>
  <c r="L138" i="20"/>
  <c r="F139" i="20"/>
  <c r="G139" i="20"/>
  <c r="L139" i="20"/>
  <c r="F140" i="20"/>
  <c r="G140" i="20"/>
  <c r="L140" i="20"/>
  <c r="F141" i="20"/>
  <c r="G141" i="20"/>
  <c r="L141" i="20"/>
  <c r="F142" i="20"/>
  <c r="G142" i="20"/>
  <c r="L142" i="20"/>
  <c r="F143" i="20"/>
  <c r="G143" i="20"/>
  <c r="L143" i="20"/>
  <c r="F144" i="20"/>
  <c r="G144" i="20"/>
  <c r="L144" i="20"/>
  <c r="F145" i="20"/>
  <c r="G145" i="20"/>
  <c r="L145" i="20"/>
  <c r="F146" i="20"/>
  <c r="G146" i="20"/>
  <c r="L146" i="20"/>
  <c r="F147" i="20"/>
  <c r="G147" i="20"/>
  <c r="L147" i="20"/>
  <c r="F148" i="20"/>
  <c r="G148" i="20"/>
  <c r="L148" i="20"/>
  <c r="F149" i="20"/>
  <c r="G149" i="20"/>
  <c r="L149" i="20"/>
  <c r="F150" i="20"/>
  <c r="G150" i="20"/>
  <c r="L150" i="20"/>
  <c r="F151" i="20"/>
  <c r="G151" i="20"/>
  <c r="L151" i="20"/>
  <c r="F152" i="20"/>
  <c r="G152" i="20"/>
  <c r="L152" i="20"/>
  <c r="F153" i="20"/>
  <c r="G153" i="20"/>
  <c r="L153" i="20"/>
  <c r="F154" i="20"/>
  <c r="G154" i="20"/>
  <c r="L154" i="20"/>
  <c r="F155" i="20"/>
  <c r="G155" i="20"/>
  <c r="L155" i="20"/>
  <c r="F156" i="20"/>
  <c r="G156" i="20"/>
  <c r="L156" i="20"/>
  <c r="F157" i="20"/>
  <c r="G157" i="20"/>
  <c r="L157" i="20"/>
  <c r="F158" i="20"/>
  <c r="G158" i="20"/>
  <c r="L158" i="20"/>
  <c r="F159" i="20"/>
  <c r="G159" i="20"/>
  <c r="L159" i="20"/>
  <c r="F160" i="20"/>
  <c r="G160" i="20"/>
  <c r="L160" i="20"/>
  <c r="F161" i="20"/>
  <c r="G161" i="20"/>
  <c r="L161" i="20"/>
  <c r="F162" i="20"/>
  <c r="G162" i="20"/>
  <c r="L162" i="20"/>
  <c r="F163" i="20"/>
  <c r="G163" i="20"/>
  <c r="L163" i="20"/>
  <c r="F164" i="20"/>
  <c r="G164" i="20"/>
  <c r="L164" i="20"/>
  <c r="F165" i="20"/>
  <c r="G165" i="20"/>
  <c r="L165" i="20"/>
  <c r="F166" i="20"/>
  <c r="G166" i="20"/>
  <c r="L166" i="20"/>
  <c r="F167" i="20"/>
  <c r="G167" i="20"/>
  <c r="L167" i="20"/>
  <c r="F168" i="20"/>
  <c r="G168" i="20"/>
  <c r="L168" i="20"/>
  <c r="F169" i="20"/>
  <c r="G169" i="20"/>
  <c r="L169" i="20"/>
  <c r="F170" i="20"/>
  <c r="G170" i="20"/>
  <c r="L170" i="20"/>
  <c r="F171" i="20"/>
  <c r="G171" i="20"/>
  <c r="L171" i="20"/>
  <c r="F172" i="20"/>
  <c r="G172" i="20"/>
  <c r="L172" i="20"/>
  <c r="F173" i="20"/>
  <c r="G173" i="20"/>
  <c r="L173" i="20"/>
  <c r="F174" i="20"/>
  <c r="G174" i="20"/>
  <c r="L174" i="20"/>
  <c r="F175" i="20"/>
  <c r="G175" i="20"/>
  <c r="L175" i="20"/>
  <c r="F176" i="20"/>
  <c r="G176" i="20"/>
  <c r="L176" i="20"/>
  <c r="F177" i="20"/>
  <c r="G177" i="20"/>
  <c r="L177" i="20"/>
  <c r="F178" i="20"/>
  <c r="G178" i="20"/>
  <c r="L178" i="20"/>
  <c r="F179" i="20"/>
  <c r="G179" i="20"/>
  <c r="L179" i="20"/>
  <c r="F180" i="20"/>
  <c r="G180" i="20"/>
  <c r="L180" i="20"/>
  <c r="F181" i="20"/>
  <c r="G181" i="20"/>
  <c r="L181" i="20"/>
  <c r="F182" i="20"/>
  <c r="G182" i="20"/>
  <c r="L182" i="20"/>
  <c r="F183" i="20"/>
  <c r="G183" i="20"/>
  <c r="L183" i="20"/>
  <c r="F184" i="20"/>
  <c r="G184" i="20"/>
  <c r="L184" i="20"/>
  <c r="F185" i="20"/>
  <c r="G185" i="20"/>
  <c r="L185" i="20"/>
  <c r="F186" i="20"/>
  <c r="G186" i="20"/>
  <c r="L186" i="20"/>
  <c r="F187" i="20"/>
  <c r="G187" i="20"/>
  <c r="L187" i="20"/>
  <c r="F188" i="20"/>
  <c r="G188" i="20"/>
  <c r="L188" i="20"/>
  <c r="F189" i="20"/>
  <c r="G189" i="20"/>
  <c r="L189" i="20"/>
  <c r="F190" i="20"/>
  <c r="G190" i="20"/>
  <c r="L190" i="20"/>
  <c r="F191" i="20"/>
  <c r="G191" i="20"/>
  <c r="L191" i="20"/>
  <c r="F192" i="20"/>
  <c r="G192" i="20"/>
  <c r="L192" i="20"/>
  <c r="F193" i="20"/>
  <c r="G193" i="20"/>
  <c r="L193" i="20"/>
  <c r="F194" i="20"/>
  <c r="G194" i="20"/>
  <c r="L194" i="20"/>
  <c r="F195" i="20"/>
  <c r="G195" i="20"/>
  <c r="L195" i="20"/>
  <c r="F196" i="20"/>
  <c r="G196" i="20"/>
  <c r="L196" i="20"/>
  <c r="F197" i="20"/>
  <c r="G197" i="20"/>
  <c r="L197" i="20"/>
  <c r="F198" i="20"/>
  <c r="G198" i="20"/>
  <c r="L198" i="20"/>
  <c r="F199" i="20"/>
  <c r="G199" i="20"/>
  <c r="L199" i="20"/>
  <c r="F200" i="20"/>
  <c r="G200" i="20"/>
  <c r="L200" i="20"/>
  <c r="F201" i="20"/>
  <c r="G201" i="20"/>
  <c r="L201" i="20"/>
  <c r="F202" i="20"/>
  <c r="G202" i="20"/>
  <c r="L202" i="20"/>
  <c r="F203" i="20"/>
  <c r="G203" i="20"/>
  <c r="L203" i="20"/>
  <c r="F204" i="20"/>
  <c r="G204" i="20"/>
  <c r="L204" i="20"/>
  <c r="F205" i="20"/>
  <c r="G205" i="20"/>
  <c r="L205" i="20"/>
  <c r="F206" i="20"/>
  <c r="G206" i="20"/>
  <c r="L206" i="20"/>
  <c r="F207" i="20"/>
  <c r="G207" i="20"/>
  <c r="L207" i="20"/>
  <c r="F208" i="20"/>
  <c r="G208" i="20"/>
  <c r="L208" i="20"/>
  <c r="F209" i="20"/>
  <c r="G209" i="20"/>
  <c r="L209" i="20"/>
  <c r="F210" i="20"/>
  <c r="G210" i="20"/>
  <c r="L210" i="20"/>
  <c r="F211" i="20"/>
  <c r="G211" i="20"/>
  <c r="L211" i="20"/>
  <c r="AR96" i="20"/>
  <c r="AO102" i="20"/>
  <c r="G127" i="20"/>
  <c r="F127" i="20"/>
  <c r="L127" i="20"/>
  <c r="L12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3" i="20"/>
  <c r="AE44" i="20"/>
  <c r="AE45" i="20"/>
  <c r="AE46" i="20"/>
  <c r="AE47" i="20"/>
  <c r="AE48" i="20"/>
  <c r="AE49" i="20"/>
  <c r="AE50" i="20"/>
  <c r="AE51" i="20"/>
  <c r="AE52" i="20"/>
  <c r="AE53" i="20"/>
  <c r="AE54" i="20"/>
  <c r="AE55" i="20"/>
  <c r="AE56" i="20"/>
  <c r="AE57" i="20"/>
  <c r="AE58" i="20"/>
  <c r="AE59" i="20"/>
  <c r="AE60" i="20"/>
  <c r="AE61" i="20"/>
  <c r="AE62" i="20"/>
  <c r="AE63" i="20"/>
  <c r="AE64" i="20"/>
  <c r="AE65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3" i="20"/>
  <c r="AA44" i="20"/>
  <c r="AA45" i="20"/>
  <c r="AA46" i="20"/>
  <c r="AA47" i="20"/>
  <c r="AA48" i="20"/>
  <c r="AA49" i="20"/>
  <c r="AA50" i="20"/>
  <c r="AA51" i="20"/>
  <c r="AA52" i="20"/>
  <c r="AA53" i="20"/>
  <c r="AA54" i="20"/>
  <c r="AA55" i="20"/>
  <c r="AA56" i="20"/>
  <c r="AA57" i="20"/>
  <c r="AA58" i="20"/>
  <c r="AA59" i="20"/>
  <c r="AA60" i="20"/>
  <c r="AA61" i="20"/>
  <c r="AA62" i="20"/>
  <c r="AA63" i="20"/>
  <c r="AA64" i="20"/>
  <c r="AA65" i="20"/>
  <c r="J17" i="20"/>
  <c r="J18" i="20"/>
  <c r="J19" i="20"/>
  <c r="J20" i="20"/>
  <c r="J21" i="20"/>
  <c r="J22" i="20"/>
  <c r="J23" i="20"/>
  <c r="J24" i="20"/>
  <c r="J25" i="20"/>
  <c r="L27" i="20"/>
  <c r="AE16" i="20"/>
  <c r="AA16" i="20"/>
  <c r="U25" i="20"/>
  <c r="Q25" i="20"/>
  <c r="U24" i="20"/>
  <c r="Q24" i="20"/>
  <c r="U23" i="20"/>
  <c r="Q23" i="20"/>
  <c r="U22" i="20"/>
  <c r="Q22" i="20"/>
  <c r="U21" i="20"/>
  <c r="Q21" i="20"/>
  <c r="U20" i="20"/>
  <c r="Q20" i="20"/>
  <c r="U19" i="20"/>
  <c r="Q19" i="20"/>
  <c r="U18" i="20"/>
  <c r="Q18" i="20"/>
  <c r="U17" i="20"/>
  <c r="Q17" i="20"/>
  <c r="U16" i="20"/>
  <c r="Q16" i="20"/>
  <c r="H15" i="20"/>
  <c r="E16" i="20"/>
  <c r="G16" i="20"/>
  <c r="F16" i="20"/>
  <c r="E17" i="20"/>
  <c r="G17" i="20"/>
  <c r="F17" i="20"/>
  <c r="E18" i="20"/>
  <c r="G18" i="20"/>
  <c r="F18" i="20"/>
  <c r="E19" i="20"/>
  <c r="G19" i="20"/>
  <c r="F19" i="20"/>
  <c r="E20" i="20"/>
  <c r="G20" i="20"/>
  <c r="F20" i="20"/>
  <c r="E21" i="20"/>
  <c r="G21" i="20"/>
  <c r="F21" i="20"/>
  <c r="E22" i="20"/>
  <c r="G22" i="20"/>
  <c r="F22" i="20"/>
  <c r="E23" i="20"/>
  <c r="G23" i="20"/>
  <c r="F23" i="20"/>
  <c r="E24" i="20"/>
  <c r="G24" i="20"/>
  <c r="F24" i="20"/>
  <c r="E25" i="20"/>
  <c r="G25" i="20"/>
  <c r="F25" i="20"/>
  <c r="L25" i="20"/>
  <c r="L24" i="20"/>
  <c r="L23" i="20"/>
  <c r="L22" i="20"/>
  <c r="L21" i="20"/>
  <c r="L20" i="20"/>
  <c r="L19" i="20"/>
  <c r="L18" i="20"/>
  <c r="L17" i="20"/>
  <c r="J16" i="20"/>
  <c r="L16" i="20"/>
  <c r="J15" i="20"/>
  <c r="L15" i="20"/>
  <c r="AM125" i="20"/>
  <c r="AL125" i="20"/>
  <c r="AR119" i="20"/>
  <c r="AP148" i="20"/>
  <c r="AM126" i="20"/>
  <c r="AL126" i="20"/>
  <c r="AP149" i="20"/>
  <c r="AM127" i="20"/>
  <c r="AL127" i="20"/>
  <c r="AP150" i="20"/>
  <c r="AM128" i="20"/>
  <c r="AL128" i="20"/>
  <c r="AP151" i="20"/>
  <c r="AM129" i="20"/>
  <c r="AL129" i="20"/>
  <c r="AP152" i="20"/>
  <c r="AM130" i="20"/>
  <c r="AL130" i="20"/>
  <c r="AP153" i="20"/>
  <c r="AM131" i="20"/>
  <c r="AL131" i="20"/>
  <c r="AP154" i="20"/>
  <c r="AM132" i="20"/>
  <c r="AL132" i="20"/>
  <c r="AP155" i="20"/>
  <c r="AM133" i="20"/>
  <c r="AL133" i="20"/>
  <c r="AP156" i="20"/>
  <c r="AM134" i="20"/>
  <c r="AL134" i="20"/>
  <c r="AP157" i="20"/>
  <c r="AM135" i="20"/>
  <c r="AL135" i="20"/>
  <c r="AP158" i="20"/>
  <c r="AM136" i="20"/>
  <c r="AL136" i="20"/>
  <c r="AP159" i="20"/>
  <c r="AM137" i="20"/>
  <c r="AL137" i="20"/>
  <c r="AP160" i="20"/>
  <c r="AM138" i="20"/>
  <c r="AL138" i="20"/>
  <c r="AP161" i="20"/>
  <c r="AM139" i="20"/>
  <c r="AL139" i="20"/>
  <c r="AP162" i="20"/>
  <c r="AM140" i="20"/>
  <c r="AL140" i="20"/>
  <c r="AP163" i="20"/>
  <c r="AM141" i="20"/>
  <c r="AL141" i="20"/>
  <c r="AP164" i="20"/>
  <c r="AM142" i="20"/>
  <c r="AL142" i="20"/>
  <c r="AP165" i="20"/>
  <c r="AM143" i="20"/>
  <c r="AL143" i="20"/>
  <c r="AP166" i="20"/>
  <c r="AM144" i="20"/>
  <c r="AL144" i="20"/>
  <c r="AP167" i="20"/>
  <c r="AM145" i="20"/>
  <c r="AL145" i="20"/>
  <c r="AP168" i="20"/>
  <c r="AM146" i="20"/>
  <c r="AL146" i="20"/>
  <c r="AP169" i="20"/>
  <c r="AM147" i="20"/>
  <c r="AL147" i="20"/>
  <c r="AP170" i="20"/>
  <c r="AM148" i="20"/>
  <c r="AL148" i="20"/>
  <c r="AP171" i="20"/>
  <c r="AM149" i="20"/>
  <c r="AL149" i="20"/>
  <c r="AP172" i="20"/>
  <c r="AM150" i="20"/>
  <c r="AL150" i="20"/>
  <c r="AP173" i="20"/>
  <c r="AM151" i="20"/>
  <c r="AL151" i="20"/>
  <c r="AP174" i="20"/>
  <c r="AM152" i="20"/>
  <c r="AL152" i="20"/>
  <c r="AP175" i="20"/>
  <c r="AM153" i="20"/>
  <c r="AL153" i="20"/>
  <c r="AP176" i="20"/>
  <c r="AM154" i="20"/>
  <c r="AL154" i="20"/>
  <c r="AP177" i="20"/>
  <c r="AM155" i="20"/>
  <c r="AL155" i="20"/>
  <c r="AP178" i="20"/>
  <c r="AM156" i="20"/>
  <c r="AL156" i="20"/>
  <c r="AP179" i="20"/>
  <c r="AM157" i="20"/>
  <c r="AL157" i="20"/>
  <c r="AP180" i="20"/>
  <c r="AM158" i="20"/>
  <c r="AL158" i="20"/>
  <c r="AP181" i="20"/>
  <c r="AM159" i="20"/>
  <c r="AL159" i="20"/>
  <c r="AP182" i="20"/>
  <c r="AM160" i="20"/>
  <c r="AL160" i="20"/>
  <c r="AP183" i="20"/>
  <c r="AM161" i="20"/>
  <c r="AL161" i="20"/>
  <c r="AP184" i="20"/>
  <c r="AM162" i="20"/>
  <c r="AL162" i="20"/>
  <c r="AP185" i="20"/>
  <c r="AM163" i="20"/>
  <c r="AL163" i="20"/>
  <c r="AP186" i="20"/>
  <c r="AM164" i="20"/>
  <c r="AL164" i="20"/>
  <c r="AP187" i="20"/>
  <c r="AP189" i="20"/>
  <c r="AR189" i="20"/>
  <c r="AQ187" i="20"/>
  <c r="AR187" i="20"/>
  <c r="AQ186" i="20"/>
  <c r="AR186" i="20"/>
  <c r="AQ185" i="20"/>
  <c r="AR185" i="20"/>
  <c r="AQ184" i="20"/>
  <c r="AR184" i="20"/>
  <c r="AQ183" i="20"/>
  <c r="AR183" i="20"/>
  <c r="AQ182" i="20"/>
  <c r="AR182" i="20"/>
  <c r="AQ181" i="20"/>
  <c r="AR181" i="20"/>
  <c r="AQ180" i="20"/>
  <c r="AR180" i="20"/>
  <c r="AQ179" i="20"/>
  <c r="AR179" i="20"/>
  <c r="AQ178" i="20"/>
  <c r="AR178" i="20"/>
  <c r="AQ177" i="20"/>
  <c r="AR177" i="20"/>
  <c r="AQ176" i="20"/>
  <c r="AR176" i="20"/>
  <c r="AQ175" i="20"/>
  <c r="AR175" i="20"/>
  <c r="AQ174" i="20"/>
  <c r="AR174" i="20"/>
  <c r="AQ173" i="20"/>
  <c r="AR173" i="20"/>
  <c r="AQ172" i="20"/>
  <c r="AR172" i="20"/>
  <c r="AQ171" i="20"/>
  <c r="AR171" i="20"/>
  <c r="AQ170" i="20"/>
  <c r="AR170" i="20"/>
  <c r="AQ169" i="20"/>
  <c r="AR169" i="20"/>
  <c r="AQ168" i="20"/>
  <c r="AR168" i="20"/>
  <c r="AQ167" i="20"/>
  <c r="AR167" i="20"/>
  <c r="AQ166" i="20"/>
  <c r="AR166" i="20"/>
  <c r="AQ165" i="20"/>
  <c r="AR165" i="20"/>
  <c r="AQ164" i="20"/>
  <c r="AR164" i="20"/>
  <c r="AK164" i="20"/>
  <c r="AQ163" i="20"/>
  <c r="AR163" i="20"/>
  <c r="AK163" i="20"/>
  <c r="AQ162" i="20"/>
  <c r="AR162" i="20"/>
  <c r="AK162" i="20"/>
  <c r="AQ161" i="20"/>
  <c r="AR161" i="20"/>
  <c r="AK161" i="20"/>
  <c r="AQ160" i="20"/>
  <c r="AR160" i="20"/>
  <c r="AK160" i="20"/>
  <c r="AQ159" i="20"/>
  <c r="AR159" i="20"/>
  <c r="AK159" i="20"/>
  <c r="AQ158" i="20"/>
  <c r="AR158" i="20"/>
  <c r="AK158" i="20"/>
  <c r="AQ157" i="20"/>
  <c r="AR157" i="20"/>
  <c r="AK157" i="20"/>
  <c r="AQ156" i="20"/>
  <c r="AR156" i="20"/>
  <c r="AK156" i="20"/>
  <c r="AV155" i="20"/>
  <c r="AQ155" i="20"/>
  <c r="AR155" i="20"/>
  <c r="AK155" i="20"/>
  <c r="AV154" i="20"/>
  <c r="AQ154" i="20"/>
  <c r="AR154" i="20"/>
  <c r="AK154" i="20"/>
  <c r="AV153" i="20"/>
  <c r="AQ153" i="20"/>
  <c r="AR153" i="20"/>
  <c r="AK153" i="20"/>
  <c r="AV152" i="20"/>
  <c r="AQ152" i="20"/>
  <c r="AR152" i="20"/>
  <c r="AK152" i="20"/>
  <c r="AV151" i="20"/>
  <c r="AQ151" i="20"/>
  <c r="AR151" i="20"/>
  <c r="AK151" i="20"/>
  <c r="AV150" i="20"/>
  <c r="AQ150" i="20"/>
  <c r="AR150" i="20"/>
  <c r="AK150" i="20"/>
  <c r="AV149" i="20"/>
  <c r="AQ149" i="20"/>
  <c r="AR149" i="20"/>
  <c r="AK149" i="20"/>
  <c r="AV148" i="20"/>
  <c r="AQ148" i="20"/>
  <c r="AR148" i="20"/>
  <c r="AK148" i="20"/>
  <c r="AQ147" i="20"/>
  <c r="AR147" i="20"/>
  <c r="AK147" i="20"/>
  <c r="AK146" i="20"/>
  <c r="AK145" i="20"/>
  <c r="AK144" i="20"/>
  <c r="AK143" i="20"/>
  <c r="AR142" i="20"/>
  <c r="AQ142" i="20"/>
  <c r="AP142" i="20"/>
  <c r="AK142" i="20"/>
  <c r="AK141" i="20"/>
  <c r="AK140" i="20"/>
  <c r="AK139" i="20"/>
  <c r="AK138" i="20"/>
  <c r="AK137" i="20"/>
  <c r="AN125" i="20"/>
  <c r="AO125" i="20"/>
  <c r="AP125" i="20"/>
  <c r="AN126" i="20"/>
  <c r="AO126" i="20"/>
  <c r="AP126" i="20"/>
  <c r="AN127" i="20"/>
  <c r="AO127" i="20"/>
  <c r="AP127" i="20"/>
  <c r="AN128" i="20"/>
  <c r="AO128" i="20"/>
  <c r="AP128" i="20"/>
  <c r="AN129" i="20"/>
  <c r="AO129" i="20"/>
  <c r="AP129" i="20"/>
  <c r="AN130" i="20"/>
  <c r="AO130" i="20"/>
  <c r="AP130" i="20"/>
  <c r="AN131" i="20"/>
  <c r="AO131" i="20"/>
  <c r="AP131" i="20"/>
  <c r="AN132" i="20"/>
  <c r="AO132" i="20"/>
  <c r="AP132" i="20"/>
  <c r="AN133" i="20"/>
  <c r="AO133" i="20"/>
  <c r="AP133" i="20"/>
  <c r="AN134" i="20"/>
  <c r="AO134" i="20"/>
  <c r="AP134" i="20"/>
  <c r="AP136" i="20"/>
  <c r="AR136" i="20"/>
  <c r="AK136" i="20"/>
  <c r="AK135" i="20"/>
  <c r="AQ134" i="20"/>
  <c r="AR134" i="20"/>
  <c r="AK134" i="20"/>
  <c r="AQ133" i="20"/>
  <c r="AR133" i="20"/>
  <c r="AK133" i="20"/>
  <c r="AV132" i="20"/>
  <c r="AQ132" i="20"/>
  <c r="AR132" i="20"/>
  <c r="AK132" i="20"/>
  <c r="AV131" i="20"/>
  <c r="AQ131" i="20"/>
  <c r="AR131" i="20"/>
  <c r="AK131" i="20"/>
  <c r="AV130" i="20"/>
  <c r="AQ130" i="20"/>
  <c r="AR130" i="20"/>
  <c r="AK130" i="20"/>
  <c r="AV129" i="20"/>
  <c r="AQ129" i="20"/>
  <c r="AR129" i="20"/>
  <c r="AK129" i="20"/>
  <c r="AV128" i="20"/>
  <c r="AQ128" i="20"/>
  <c r="AR128" i="20"/>
  <c r="AK128" i="20"/>
  <c r="AV127" i="20"/>
  <c r="AQ127" i="20"/>
  <c r="AR127" i="20"/>
  <c r="AK127" i="20"/>
  <c r="AV126" i="20"/>
  <c r="AQ126" i="20"/>
  <c r="AR126" i="20"/>
  <c r="AK126" i="20"/>
  <c r="AV125" i="20"/>
  <c r="AQ125" i="20"/>
  <c r="AR125" i="20"/>
  <c r="AK125" i="20"/>
  <c r="AQ124" i="20"/>
  <c r="AR124" i="20"/>
  <c r="AQ119" i="20"/>
  <c r="AP119" i="20"/>
  <c r="AK102" i="20"/>
  <c r="AL102" i="20"/>
  <c r="AH102" i="20"/>
  <c r="AI102" i="20"/>
  <c r="AJ102" i="20"/>
  <c r="AM102" i="20"/>
  <c r="AN102" i="20"/>
  <c r="AP102" i="20"/>
  <c r="AK103" i="20"/>
  <c r="AL103" i="20"/>
  <c r="AH103" i="20"/>
  <c r="AI103" i="20"/>
  <c r="AJ103" i="20"/>
  <c r="AM103" i="20"/>
  <c r="AN103" i="20"/>
  <c r="AO103" i="20"/>
  <c r="AP103" i="20"/>
  <c r="AK104" i="20"/>
  <c r="AL104" i="20"/>
  <c r="AH104" i="20"/>
  <c r="AI104" i="20"/>
  <c r="AJ104" i="20"/>
  <c r="AM104" i="20"/>
  <c r="AN104" i="20"/>
  <c r="AO104" i="20"/>
  <c r="AP104" i="20"/>
  <c r="AK105" i="20"/>
  <c r="AL105" i="20"/>
  <c r="AH105" i="20"/>
  <c r="AI105" i="20"/>
  <c r="AJ105" i="20"/>
  <c r="AM105" i="20"/>
  <c r="AN105" i="20"/>
  <c r="AO105" i="20"/>
  <c r="AP105" i="20"/>
  <c r="AK106" i="20"/>
  <c r="AL106" i="20"/>
  <c r="AH106" i="20"/>
  <c r="AI106" i="20"/>
  <c r="AJ106" i="20"/>
  <c r="AM106" i="20"/>
  <c r="AN106" i="20"/>
  <c r="AO106" i="20"/>
  <c r="AP106" i="20"/>
  <c r="AK107" i="20"/>
  <c r="AL107" i="20"/>
  <c r="AH107" i="20"/>
  <c r="AI107" i="20"/>
  <c r="AJ107" i="20"/>
  <c r="AM107" i="20"/>
  <c r="AN107" i="20"/>
  <c r="AO107" i="20"/>
  <c r="AP107" i="20"/>
  <c r="AK108" i="20"/>
  <c r="AL108" i="20"/>
  <c r="AH108" i="20"/>
  <c r="AI108" i="20"/>
  <c r="AJ108" i="20"/>
  <c r="AM108" i="20"/>
  <c r="AN108" i="20"/>
  <c r="AO108" i="20"/>
  <c r="AP108" i="20"/>
  <c r="AK109" i="20"/>
  <c r="AL109" i="20"/>
  <c r="AH109" i="20"/>
  <c r="AI109" i="20"/>
  <c r="AJ109" i="20"/>
  <c r="AM109" i="20"/>
  <c r="AN109" i="20"/>
  <c r="AO109" i="20"/>
  <c r="AP109" i="20"/>
  <c r="AK110" i="20"/>
  <c r="AL110" i="20"/>
  <c r="AH110" i="20"/>
  <c r="AI110" i="20"/>
  <c r="AJ110" i="20"/>
  <c r="AM110" i="20"/>
  <c r="AN110" i="20"/>
  <c r="AO110" i="20"/>
  <c r="AP110" i="20"/>
  <c r="AK111" i="20"/>
  <c r="AL111" i="20"/>
  <c r="AH111" i="20"/>
  <c r="AI111" i="20"/>
  <c r="AJ111" i="20"/>
  <c r="AM111" i="20"/>
  <c r="AN111" i="20"/>
  <c r="AO111" i="20"/>
  <c r="AP111" i="20"/>
  <c r="AP113" i="20"/>
  <c r="AR113" i="20"/>
  <c r="AQ111" i="20"/>
  <c r="AR111" i="20"/>
  <c r="AQ110" i="20"/>
  <c r="AR110" i="20"/>
  <c r="AV109" i="20"/>
  <c r="AQ109" i="20"/>
  <c r="AR109" i="20"/>
  <c r="AV108" i="20"/>
  <c r="AQ108" i="20"/>
  <c r="AR108" i="20"/>
  <c r="AV107" i="20"/>
  <c r="AQ107" i="20"/>
  <c r="AR107" i="20"/>
  <c r="AV106" i="20"/>
  <c r="AQ106" i="20"/>
  <c r="AR106" i="20"/>
  <c r="AV105" i="20"/>
  <c r="AQ105" i="20"/>
  <c r="AR105" i="20"/>
  <c r="AV104" i="20"/>
  <c r="AQ104" i="20"/>
  <c r="AR104" i="20"/>
  <c r="AV103" i="20"/>
  <c r="AQ103" i="20"/>
  <c r="AR103" i="20"/>
  <c r="AV102" i="20"/>
  <c r="AQ102" i="20"/>
  <c r="AR102" i="20"/>
  <c r="AQ101" i="20"/>
  <c r="AR101" i="20"/>
  <c r="AQ96" i="20"/>
  <c r="AP96" i="20"/>
  <c r="AV68" i="20"/>
  <c r="AW68" i="20"/>
  <c r="AX68" i="20"/>
  <c r="AY68" i="20"/>
  <c r="AZ68" i="20"/>
  <c r="BA68" i="20"/>
  <c r="BB68" i="20"/>
  <c r="BC68" i="20"/>
  <c r="BD68" i="20"/>
  <c r="BF68" i="20"/>
  <c r="AI68" i="20"/>
  <c r="AJ68" i="20"/>
  <c r="AK68" i="20"/>
  <c r="AL68" i="20"/>
  <c r="AM68" i="20"/>
  <c r="AN68" i="20"/>
  <c r="AO68" i="20"/>
  <c r="AP68" i="20"/>
  <c r="AQ68" i="20"/>
  <c r="AS68" i="20"/>
  <c r="AV67" i="20"/>
  <c r="AW67" i="20"/>
  <c r="AX67" i="20"/>
  <c r="AY67" i="20"/>
  <c r="AZ67" i="20"/>
  <c r="BA67" i="20"/>
  <c r="BB67" i="20"/>
  <c r="BC67" i="20"/>
  <c r="BD67" i="20"/>
  <c r="BF67" i="20"/>
  <c r="AI67" i="20"/>
  <c r="AJ67" i="20"/>
  <c r="AK67" i="20"/>
  <c r="AL67" i="20"/>
  <c r="AM67" i="20"/>
  <c r="AN67" i="20"/>
  <c r="AO67" i="20"/>
  <c r="AP67" i="20"/>
  <c r="AQ67" i="20"/>
  <c r="AS67" i="20"/>
  <c r="AV66" i="20"/>
  <c r="AW66" i="20"/>
  <c r="AX66" i="20"/>
  <c r="AY66" i="20"/>
  <c r="AZ66" i="20"/>
  <c r="BA66" i="20"/>
  <c r="BB66" i="20"/>
  <c r="BC66" i="20"/>
  <c r="BD66" i="20"/>
  <c r="BF66" i="20"/>
  <c r="AI66" i="20"/>
  <c r="AJ66" i="20"/>
  <c r="AK66" i="20"/>
  <c r="AL66" i="20"/>
  <c r="AM66" i="20"/>
  <c r="AN66" i="20"/>
  <c r="AO66" i="20"/>
  <c r="AP66" i="20"/>
  <c r="AQ66" i="20"/>
  <c r="AS66" i="20"/>
  <c r="AV65" i="20"/>
  <c r="AW65" i="20"/>
  <c r="AX65" i="20"/>
  <c r="AY65" i="20"/>
  <c r="AZ65" i="20"/>
  <c r="BA65" i="20"/>
  <c r="BB65" i="20"/>
  <c r="BC65" i="20"/>
  <c r="BD65" i="20"/>
  <c r="BF65" i="20"/>
  <c r="AI65" i="20"/>
  <c r="AJ65" i="20"/>
  <c r="AK65" i="20"/>
  <c r="AL65" i="20"/>
  <c r="AM65" i="20"/>
  <c r="AN65" i="20"/>
  <c r="AO65" i="20"/>
  <c r="AP65" i="20"/>
  <c r="AQ65" i="20"/>
  <c r="AS65" i="20"/>
  <c r="C59" i="20"/>
  <c r="AV64" i="20"/>
  <c r="AW64" i="20"/>
  <c r="AX64" i="20"/>
  <c r="AY64" i="20"/>
  <c r="AZ64" i="20"/>
  <c r="BA64" i="20"/>
  <c r="BB64" i="20"/>
  <c r="BC64" i="20"/>
  <c r="BD64" i="20"/>
  <c r="BF64" i="20"/>
  <c r="AI64" i="20"/>
  <c r="AJ64" i="20"/>
  <c r="AK64" i="20"/>
  <c r="AL64" i="20"/>
  <c r="AM64" i="20"/>
  <c r="AN64" i="20"/>
  <c r="AO64" i="20"/>
  <c r="AP64" i="20"/>
  <c r="AQ64" i="20"/>
  <c r="AS64" i="20"/>
  <c r="AV63" i="20"/>
  <c r="AW63" i="20"/>
  <c r="AX63" i="20"/>
  <c r="AY63" i="20"/>
  <c r="AZ63" i="20"/>
  <c r="BA63" i="20"/>
  <c r="BB63" i="20"/>
  <c r="BC63" i="20"/>
  <c r="BD63" i="20"/>
  <c r="BF63" i="20"/>
  <c r="AI63" i="20"/>
  <c r="AJ63" i="20"/>
  <c r="AK63" i="20"/>
  <c r="AL63" i="20"/>
  <c r="AM63" i="20"/>
  <c r="AN63" i="20"/>
  <c r="AO63" i="20"/>
  <c r="AP63" i="20"/>
  <c r="AQ63" i="20"/>
  <c r="AS63" i="20"/>
  <c r="AV62" i="20"/>
  <c r="AW62" i="20"/>
  <c r="AX62" i="20"/>
  <c r="AY62" i="20"/>
  <c r="AZ62" i="20"/>
  <c r="BA62" i="20"/>
  <c r="BB62" i="20"/>
  <c r="BC62" i="20"/>
  <c r="BD62" i="20"/>
  <c r="BF62" i="20"/>
  <c r="AI62" i="20"/>
  <c r="AJ62" i="20"/>
  <c r="AK62" i="20"/>
  <c r="AL62" i="20"/>
  <c r="AM62" i="20"/>
  <c r="AN62" i="20"/>
  <c r="AO62" i="20"/>
  <c r="AP62" i="20"/>
  <c r="AQ62" i="20"/>
  <c r="AS62" i="20"/>
  <c r="AV61" i="20"/>
  <c r="AW61" i="20"/>
  <c r="AX61" i="20"/>
  <c r="AY61" i="20"/>
  <c r="AZ61" i="20"/>
  <c r="BA61" i="20"/>
  <c r="BB61" i="20"/>
  <c r="BC61" i="20"/>
  <c r="BD61" i="20"/>
  <c r="BF61" i="20"/>
  <c r="AI61" i="20"/>
  <c r="AJ61" i="20"/>
  <c r="AK61" i="20"/>
  <c r="AL61" i="20"/>
  <c r="AM61" i="20"/>
  <c r="AN61" i="20"/>
  <c r="AO61" i="20"/>
  <c r="AP61" i="20"/>
  <c r="AQ61" i="20"/>
  <c r="AS61" i="20"/>
  <c r="AV60" i="20"/>
  <c r="AW60" i="20"/>
  <c r="AX60" i="20"/>
  <c r="AY60" i="20"/>
  <c r="AZ60" i="20"/>
  <c r="BA60" i="20"/>
  <c r="BB60" i="20"/>
  <c r="BC60" i="20"/>
  <c r="BD60" i="20"/>
  <c r="BF60" i="20"/>
  <c r="AI60" i="20"/>
  <c r="AJ60" i="20"/>
  <c r="AK60" i="20"/>
  <c r="AL60" i="20"/>
  <c r="AM60" i="20"/>
  <c r="AN60" i="20"/>
  <c r="AO60" i="20"/>
  <c r="AP60" i="20"/>
  <c r="AQ60" i="20"/>
  <c r="AS60" i="20"/>
  <c r="R53" i="20"/>
  <c r="R51" i="20"/>
  <c r="R49" i="20"/>
  <c r="R47" i="20"/>
  <c r="R45" i="20"/>
  <c r="R43" i="20"/>
  <c r="R41" i="20"/>
  <c r="C64" i="20"/>
  <c r="AV59" i="20"/>
  <c r="AW59" i="20"/>
  <c r="AX59" i="20"/>
  <c r="AY59" i="20"/>
  <c r="AZ59" i="20"/>
  <c r="BA59" i="20"/>
  <c r="BB59" i="20"/>
  <c r="BC59" i="20"/>
  <c r="BD59" i="20"/>
  <c r="BF59" i="20"/>
  <c r="AI59" i="20"/>
  <c r="AJ59" i="20"/>
  <c r="AK59" i="20"/>
  <c r="AL59" i="20"/>
  <c r="AM59" i="20"/>
  <c r="AN59" i="20"/>
  <c r="AO59" i="20"/>
  <c r="AP59" i="20"/>
  <c r="AQ59" i="20"/>
  <c r="AS59" i="20"/>
  <c r="AV58" i="20"/>
  <c r="AW58" i="20"/>
  <c r="AX58" i="20"/>
  <c r="AY58" i="20"/>
  <c r="AZ58" i="20"/>
  <c r="BA58" i="20"/>
  <c r="BB58" i="20"/>
  <c r="BC58" i="20"/>
  <c r="BD58" i="20"/>
  <c r="BF58" i="20"/>
  <c r="AI58" i="20"/>
  <c r="AJ58" i="20"/>
  <c r="AK58" i="20"/>
  <c r="AL58" i="20"/>
  <c r="AM58" i="20"/>
  <c r="AN58" i="20"/>
  <c r="AO58" i="20"/>
  <c r="AP58" i="20"/>
  <c r="AQ58" i="20"/>
  <c r="AS58" i="20"/>
  <c r="AV57" i="20"/>
  <c r="AW57" i="20"/>
  <c r="AX57" i="20"/>
  <c r="AY57" i="20"/>
  <c r="AZ57" i="20"/>
  <c r="BA57" i="20"/>
  <c r="BB57" i="20"/>
  <c r="BC57" i="20"/>
  <c r="BD57" i="20"/>
  <c r="BF57" i="20"/>
  <c r="AI57" i="20"/>
  <c r="AJ57" i="20"/>
  <c r="AK57" i="20"/>
  <c r="AL57" i="20"/>
  <c r="AM57" i="20"/>
  <c r="AN57" i="20"/>
  <c r="AO57" i="20"/>
  <c r="AP57" i="20"/>
  <c r="AQ57" i="20"/>
  <c r="AS57" i="20"/>
  <c r="AV56" i="20"/>
  <c r="AW56" i="20"/>
  <c r="AX56" i="20"/>
  <c r="AY56" i="20"/>
  <c r="AZ56" i="20"/>
  <c r="BA56" i="20"/>
  <c r="BB56" i="20"/>
  <c r="BC56" i="20"/>
  <c r="BD56" i="20"/>
  <c r="BF56" i="20"/>
  <c r="AI56" i="20"/>
  <c r="AJ56" i="20"/>
  <c r="AK56" i="20"/>
  <c r="AL56" i="20"/>
  <c r="AM56" i="20"/>
  <c r="AN56" i="20"/>
  <c r="AO56" i="20"/>
  <c r="AP56" i="20"/>
  <c r="AQ56" i="20"/>
  <c r="AS56" i="20"/>
  <c r="AV55" i="20"/>
  <c r="AW55" i="20"/>
  <c r="AX55" i="20"/>
  <c r="AY55" i="20"/>
  <c r="AZ55" i="20"/>
  <c r="BA55" i="20"/>
  <c r="BB55" i="20"/>
  <c r="BC55" i="20"/>
  <c r="BD55" i="20"/>
  <c r="BF55" i="20"/>
  <c r="AI55" i="20"/>
  <c r="AJ55" i="20"/>
  <c r="AK55" i="20"/>
  <c r="AL55" i="20"/>
  <c r="AM55" i="20"/>
  <c r="AN55" i="20"/>
  <c r="AO55" i="20"/>
  <c r="AP55" i="20"/>
  <c r="AQ55" i="20"/>
  <c r="AS55" i="20"/>
  <c r="R35" i="20"/>
  <c r="R33" i="20"/>
  <c r="R31" i="20"/>
  <c r="R29" i="20"/>
  <c r="C69" i="20"/>
  <c r="AV54" i="20"/>
  <c r="AW54" i="20"/>
  <c r="AX54" i="20"/>
  <c r="AY54" i="20"/>
  <c r="AZ54" i="20"/>
  <c r="BA54" i="20"/>
  <c r="BB54" i="20"/>
  <c r="BC54" i="20"/>
  <c r="BD54" i="20"/>
  <c r="BF54" i="20"/>
  <c r="AI54" i="20"/>
  <c r="AJ54" i="20"/>
  <c r="AK54" i="20"/>
  <c r="AL54" i="20"/>
  <c r="AM54" i="20"/>
  <c r="AN54" i="20"/>
  <c r="AO54" i="20"/>
  <c r="AP54" i="20"/>
  <c r="AQ54" i="20"/>
  <c r="AS54" i="20"/>
  <c r="AV53" i="20"/>
  <c r="AW53" i="20"/>
  <c r="AX53" i="20"/>
  <c r="AY53" i="20"/>
  <c r="AZ53" i="20"/>
  <c r="BA53" i="20"/>
  <c r="BB53" i="20"/>
  <c r="BC53" i="20"/>
  <c r="BD53" i="20"/>
  <c r="BF53" i="20"/>
  <c r="AI53" i="20"/>
  <c r="AJ53" i="20"/>
  <c r="AK53" i="20"/>
  <c r="AL53" i="20"/>
  <c r="AM53" i="20"/>
  <c r="AN53" i="20"/>
  <c r="AO53" i="20"/>
  <c r="AP53" i="20"/>
  <c r="AQ53" i="20"/>
  <c r="AS53" i="20"/>
  <c r="AV52" i="20"/>
  <c r="AW52" i="20"/>
  <c r="AX52" i="20"/>
  <c r="AY52" i="20"/>
  <c r="AZ52" i="20"/>
  <c r="BA52" i="20"/>
  <c r="BB52" i="20"/>
  <c r="BC52" i="20"/>
  <c r="BD52" i="20"/>
  <c r="BF52" i="20"/>
  <c r="AI52" i="20"/>
  <c r="AJ52" i="20"/>
  <c r="AK52" i="20"/>
  <c r="AL52" i="20"/>
  <c r="AM52" i="20"/>
  <c r="AN52" i="20"/>
  <c r="AO52" i="20"/>
  <c r="AP52" i="20"/>
  <c r="AQ52" i="20"/>
  <c r="AS52" i="20"/>
  <c r="AV51" i="20"/>
  <c r="AW51" i="20"/>
  <c r="AX51" i="20"/>
  <c r="AY51" i="20"/>
  <c r="AZ51" i="20"/>
  <c r="BA51" i="20"/>
  <c r="BB51" i="20"/>
  <c r="BC51" i="20"/>
  <c r="BD51" i="20"/>
  <c r="BF51" i="20"/>
  <c r="AI51" i="20"/>
  <c r="AJ51" i="20"/>
  <c r="AK51" i="20"/>
  <c r="AL51" i="20"/>
  <c r="AM51" i="20"/>
  <c r="AN51" i="20"/>
  <c r="AO51" i="20"/>
  <c r="AP51" i="20"/>
  <c r="AQ51" i="20"/>
  <c r="AS51" i="20"/>
  <c r="AV50" i="20"/>
  <c r="AW50" i="20"/>
  <c r="AX50" i="20"/>
  <c r="AY50" i="20"/>
  <c r="AZ50" i="20"/>
  <c r="BA50" i="20"/>
  <c r="BB50" i="20"/>
  <c r="BC50" i="20"/>
  <c r="BD50" i="20"/>
  <c r="BF50" i="20"/>
  <c r="AI50" i="20"/>
  <c r="AJ50" i="20"/>
  <c r="AK50" i="20"/>
  <c r="AL50" i="20"/>
  <c r="AM50" i="20"/>
  <c r="AN50" i="20"/>
  <c r="AO50" i="20"/>
  <c r="AP50" i="20"/>
  <c r="AQ50" i="20"/>
  <c r="AS50" i="20"/>
  <c r="AV49" i="20"/>
  <c r="AW49" i="20"/>
  <c r="AX49" i="20"/>
  <c r="AY49" i="20"/>
  <c r="AZ49" i="20"/>
  <c r="BA49" i="20"/>
  <c r="BB49" i="20"/>
  <c r="BC49" i="20"/>
  <c r="BD49" i="20"/>
  <c r="BF49" i="20"/>
  <c r="AI49" i="20"/>
  <c r="AJ49" i="20"/>
  <c r="AK49" i="20"/>
  <c r="AL49" i="20"/>
  <c r="AM49" i="20"/>
  <c r="AN49" i="20"/>
  <c r="AO49" i="20"/>
  <c r="AP49" i="20"/>
  <c r="AQ49" i="20"/>
  <c r="AS49" i="20"/>
  <c r="AV48" i="20"/>
  <c r="AW48" i="20"/>
  <c r="AX48" i="20"/>
  <c r="AY48" i="20"/>
  <c r="AZ48" i="20"/>
  <c r="BA48" i="20"/>
  <c r="BB48" i="20"/>
  <c r="BC48" i="20"/>
  <c r="BD48" i="20"/>
  <c r="BF48" i="20"/>
  <c r="AI48" i="20"/>
  <c r="AJ48" i="20"/>
  <c r="AK48" i="20"/>
  <c r="AL48" i="20"/>
  <c r="AM48" i="20"/>
  <c r="AN48" i="20"/>
  <c r="AO48" i="20"/>
  <c r="AP48" i="20"/>
  <c r="AQ48" i="20"/>
  <c r="AS48" i="20"/>
  <c r="AV47" i="20"/>
  <c r="AW47" i="20"/>
  <c r="AX47" i="20"/>
  <c r="AY47" i="20"/>
  <c r="AZ47" i="20"/>
  <c r="BA47" i="20"/>
  <c r="BB47" i="20"/>
  <c r="BC47" i="20"/>
  <c r="BD47" i="20"/>
  <c r="BF47" i="20"/>
  <c r="AI47" i="20"/>
  <c r="AJ47" i="20"/>
  <c r="AK47" i="20"/>
  <c r="AL47" i="20"/>
  <c r="AM47" i="20"/>
  <c r="AN47" i="20"/>
  <c r="AO47" i="20"/>
  <c r="AP47" i="20"/>
  <c r="AQ47" i="20"/>
  <c r="AS47" i="20"/>
  <c r="AV46" i="20"/>
  <c r="AW46" i="20"/>
  <c r="AX46" i="20"/>
  <c r="AY46" i="20"/>
  <c r="AZ46" i="20"/>
  <c r="BA46" i="20"/>
  <c r="BB46" i="20"/>
  <c r="BC46" i="20"/>
  <c r="BD46" i="20"/>
  <c r="BF46" i="20"/>
  <c r="AI46" i="20"/>
  <c r="AJ46" i="20"/>
  <c r="AK46" i="20"/>
  <c r="AL46" i="20"/>
  <c r="AM46" i="20"/>
  <c r="AN46" i="20"/>
  <c r="AO46" i="20"/>
  <c r="AP46" i="20"/>
  <c r="AQ46" i="20"/>
  <c r="AS46" i="20"/>
  <c r="AV45" i="20"/>
  <c r="AW45" i="20"/>
  <c r="AX45" i="20"/>
  <c r="AY45" i="20"/>
  <c r="AZ45" i="20"/>
  <c r="BA45" i="20"/>
  <c r="BB45" i="20"/>
  <c r="BC45" i="20"/>
  <c r="BD45" i="20"/>
  <c r="BF45" i="20"/>
  <c r="AI45" i="20"/>
  <c r="AJ45" i="20"/>
  <c r="AK45" i="20"/>
  <c r="AL45" i="20"/>
  <c r="AM45" i="20"/>
  <c r="AN45" i="20"/>
  <c r="AO45" i="20"/>
  <c r="AP45" i="20"/>
  <c r="AQ45" i="20"/>
  <c r="AS45" i="20"/>
  <c r="AV44" i="20"/>
  <c r="AW44" i="20"/>
  <c r="AX44" i="20"/>
  <c r="AY44" i="20"/>
  <c r="AZ44" i="20"/>
  <c r="BA44" i="20"/>
  <c r="BB44" i="20"/>
  <c r="BC44" i="20"/>
  <c r="BD44" i="20"/>
  <c r="BF44" i="20"/>
  <c r="AI44" i="20"/>
  <c r="AJ44" i="20"/>
  <c r="AK44" i="20"/>
  <c r="AL44" i="20"/>
  <c r="AM44" i="20"/>
  <c r="AN44" i="20"/>
  <c r="AO44" i="20"/>
  <c r="AP44" i="20"/>
  <c r="AQ44" i="20"/>
  <c r="AS44" i="20"/>
  <c r="AV43" i="20"/>
  <c r="AW43" i="20"/>
  <c r="AX43" i="20"/>
  <c r="AY43" i="20"/>
  <c r="AZ43" i="20"/>
  <c r="BA43" i="20"/>
  <c r="BB43" i="20"/>
  <c r="BC43" i="20"/>
  <c r="BD43" i="20"/>
  <c r="BF43" i="20"/>
  <c r="AI43" i="20"/>
  <c r="AJ43" i="20"/>
  <c r="AK43" i="20"/>
  <c r="AL43" i="20"/>
  <c r="AM43" i="20"/>
  <c r="AN43" i="20"/>
  <c r="AO43" i="20"/>
  <c r="AP43" i="20"/>
  <c r="AQ43" i="20"/>
  <c r="AS43" i="20"/>
  <c r="AV42" i="20"/>
  <c r="AW42" i="20"/>
  <c r="AX42" i="20"/>
  <c r="AY42" i="20"/>
  <c r="AZ42" i="20"/>
  <c r="BA42" i="20"/>
  <c r="BB42" i="20"/>
  <c r="BC42" i="20"/>
  <c r="BD42" i="20"/>
  <c r="BF42" i="20"/>
  <c r="AI42" i="20"/>
  <c r="AJ42" i="20"/>
  <c r="AK42" i="20"/>
  <c r="AL42" i="20"/>
  <c r="AM42" i="20"/>
  <c r="AN42" i="20"/>
  <c r="AO42" i="20"/>
  <c r="AP42" i="20"/>
  <c r="AQ42" i="20"/>
  <c r="AS42" i="20"/>
  <c r="AV41" i="20"/>
  <c r="AW41" i="20"/>
  <c r="AX41" i="20"/>
  <c r="AY41" i="20"/>
  <c r="AZ41" i="20"/>
  <c r="BA41" i="20"/>
  <c r="BB41" i="20"/>
  <c r="BC41" i="20"/>
  <c r="BD41" i="20"/>
  <c r="BF41" i="20"/>
  <c r="AI41" i="20"/>
  <c r="AJ41" i="20"/>
  <c r="AK41" i="20"/>
  <c r="AL41" i="20"/>
  <c r="AM41" i="20"/>
  <c r="AN41" i="20"/>
  <c r="AO41" i="20"/>
  <c r="AP41" i="20"/>
  <c r="AQ41" i="20"/>
  <c r="AS41" i="20"/>
  <c r="AV40" i="20"/>
  <c r="AW40" i="20"/>
  <c r="AX40" i="20"/>
  <c r="AY40" i="20"/>
  <c r="AZ40" i="20"/>
  <c r="BA40" i="20"/>
  <c r="BB40" i="20"/>
  <c r="BC40" i="20"/>
  <c r="BD40" i="20"/>
  <c r="BF40" i="20"/>
  <c r="AI40" i="20"/>
  <c r="AJ40" i="20"/>
  <c r="AK40" i="20"/>
  <c r="AL40" i="20"/>
  <c r="AM40" i="20"/>
  <c r="AN40" i="20"/>
  <c r="AO40" i="20"/>
  <c r="AP40" i="20"/>
  <c r="AQ40" i="20"/>
  <c r="AS40" i="20"/>
  <c r="AV39" i="20"/>
  <c r="AW39" i="20"/>
  <c r="AX39" i="20"/>
  <c r="AY39" i="20"/>
  <c r="AZ39" i="20"/>
  <c r="BA39" i="20"/>
  <c r="BB39" i="20"/>
  <c r="BC39" i="20"/>
  <c r="BD39" i="20"/>
  <c r="BF39" i="20"/>
  <c r="AI39" i="20"/>
  <c r="AJ39" i="20"/>
  <c r="AK39" i="20"/>
  <c r="AL39" i="20"/>
  <c r="AM39" i="20"/>
  <c r="AN39" i="20"/>
  <c r="AO39" i="20"/>
  <c r="AP39" i="20"/>
  <c r="AQ39" i="20"/>
  <c r="AS39" i="20"/>
  <c r="AV38" i="20"/>
  <c r="AW38" i="20"/>
  <c r="AX38" i="20"/>
  <c r="AY38" i="20"/>
  <c r="AZ38" i="20"/>
  <c r="BA38" i="20"/>
  <c r="BB38" i="20"/>
  <c r="BC38" i="20"/>
  <c r="BD38" i="20"/>
  <c r="BF38" i="20"/>
  <c r="AI38" i="20"/>
  <c r="AJ38" i="20"/>
  <c r="AK38" i="20"/>
  <c r="AL38" i="20"/>
  <c r="AM38" i="20"/>
  <c r="AN38" i="20"/>
  <c r="AO38" i="20"/>
  <c r="AP38" i="20"/>
  <c r="AQ38" i="20"/>
  <c r="AS38" i="20"/>
  <c r="F40" i="20"/>
  <c r="AV37" i="20"/>
  <c r="AW37" i="20"/>
  <c r="AX37" i="20"/>
  <c r="AY37" i="20"/>
  <c r="AZ37" i="20"/>
  <c r="BA37" i="20"/>
  <c r="BB37" i="20"/>
  <c r="BC37" i="20"/>
  <c r="BD37" i="20"/>
  <c r="BF37" i="20"/>
  <c r="AI37" i="20"/>
  <c r="AJ37" i="20"/>
  <c r="AK37" i="20"/>
  <c r="AL37" i="20"/>
  <c r="AM37" i="20"/>
  <c r="AN37" i="20"/>
  <c r="AO37" i="20"/>
  <c r="AP37" i="20"/>
  <c r="AQ37" i="20"/>
  <c r="AS37" i="20"/>
  <c r="C37" i="20"/>
  <c r="G39" i="20"/>
  <c r="F39" i="20"/>
  <c r="C43" i="20"/>
  <c r="AV36" i="20"/>
  <c r="AW36" i="20"/>
  <c r="AX36" i="20"/>
  <c r="AY36" i="20"/>
  <c r="AZ36" i="20"/>
  <c r="BA36" i="20"/>
  <c r="BB36" i="20"/>
  <c r="BC36" i="20"/>
  <c r="BD36" i="20"/>
  <c r="BF36" i="20"/>
  <c r="AI36" i="20"/>
  <c r="AJ36" i="20"/>
  <c r="AK36" i="20"/>
  <c r="AL36" i="20"/>
  <c r="AM36" i="20"/>
  <c r="AN36" i="20"/>
  <c r="AO36" i="20"/>
  <c r="AP36" i="20"/>
  <c r="AQ36" i="20"/>
  <c r="AS36" i="20"/>
  <c r="G38" i="20"/>
  <c r="F38" i="20"/>
  <c r="AV35" i="20"/>
  <c r="AW35" i="20"/>
  <c r="AX35" i="20"/>
  <c r="AY35" i="20"/>
  <c r="AZ35" i="20"/>
  <c r="BA35" i="20"/>
  <c r="BB35" i="20"/>
  <c r="BC35" i="20"/>
  <c r="BD35" i="20"/>
  <c r="BF35" i="20"/>
  <c r="AI35" i="20"/>
  <c r="AJ35" i="20"/>
  <c r="AK35" i="20"/>
  <c r="AL35" i="20"/>
  <c r="AM35" i="20"/>
  <c r="AN35" i="20"/>
  <c r="AO35" i="20"/>
  <c r="AP35" i="20"/>
  <c r="AQ35" i="20"/>
  <c r="AS35" i="20"/>
  <c r="G37" i="20"/>
  <c r="AV34" i="20"/>
  <c r="AW34" i="20"/>
  <c r="AX34" i="20"/>
  <c r="AY34" i="20"/>
  <c r="AZ34" i="20"/>
  <c r="BA34" i="20"/>
  <c r="BB34" i="20"/>
  <c r="BC34" i="20"/>
  <c r="BD34" i="20"/>
  <c r="BF34" i="20"/>
  <c r="AI34" i="20"/>
  <c r="AJ34" i="20"/>
  <c r="AK34" i="20"/>
  <c r="AL34" i="20"/>
  <c r="AM34" i="20"/>
  <c r="AN34" i="20"/>
  <c r="AO34" i="20"/>
  <c r="AP34" i="20"/>
  <c r="AQ34" i="20"/>
  <c r="AS34" i="20"/>
  <c r="AV33" i="20"/>
  <c r="AW33" i="20"/>
  <c r="AX33" i="20"/>
  <c r="AY33" i="20"/>
  <c r="AZ33" i="20"/>
  <c r="BA33" i="20"/>
  <c r="BB33" i="20"/>
  <c r="BC33" i="20"/>
  <c r="BD33" i="20"/>
  <c r="BF33" i="20"/>
  <c r="AI33" i="20"/>
  <c r="AJ33" i="20"/>
  <c r="AK33" i="20"/>
  <c r="AL33" i="20"/>
  <c r="AM33" i="20"/>
  <c r="AN33" i="20"/>
  <c r="AO33" i="20"/>
  <c r="AP33" i="20"/>
  <c r="AQ33" i="20"/>
  <c r="AS33" i="20"/>
  <c r="AV32" i="20"/>
  <c r="AW32" i="20"/>
  <c r="AX32" i="20"/>
  <c r="AY32" i="20"/>
  <c r="AZ32" i="20"/>
  <c r="BA32" i="20"/>
  <c r="BB32" i="20"/>
  <c r="BC32" i="20"/>
  <c r="BD32" i="20"/>
  <c r="BF32" i="20"/>
  <c r="AI32" i="20"/>
  <c r="AJ32" i="20"/>
  <c r="AK32" i="20"/>
  <c r="AL32" i="20"/>
  <c r="AM32" i="20"/>
  <c r="AN32" i="20"/>
  <c r="AO32" i="20"/>
  <c r="AP32" i="20"/>
  <c r="AQ32" i="20"/>
  <c r="AS32" i="20"/>
  <c r="AV31" i="20"/>
  <c r="AW31" i="20"/>
  <c r="AX31" i="20"/>
  <c r="AY31" i="20"/>
  <c r="AZ31" i="20"/>
  <c r="BA31" i="20"/>
  <c r="BB31" i="20"/>
  <c r="BC31" i="20"/>
  <c r="BD31" i="20"/>
  <c r="BF31" i="20"/>
  <c r="AI31" i="20"/>
  <c r="AJ31" i="20"/>
  <c r="AK31" i="20"/>
  <c r="AL31" i="20"/>
  <c r="AM31" i="20"/>
  <c r="AN31" i="20"/>
  <c r="AO31" i="20"/>
  <c r="AP31" i="20"/>
  <c r="AQ31" i="20"/>
  <c r="AS31" i="20"/>
  <c r="AV30" i="20"/>
  <c r="AW30" i="20"/>
  <c r="AX30" i="20"/>
  <c r="AY30" i="20"/>
  <c r="AZ30" i="20"/>
  <c r="BA30" i="20"/>
  <c r="BB30" i="20"/>
  <c r="BC30" i="20"/>
  <c r="BD30" i="20"/>
  <c r="BF30" i="20"/>
  <c r="AI30" i="20"/>
  <c r="AJ30" i="20"/>
  <c r="AK30" i="20"/>
  <c r="AL30" i="20"/>
  <c r="AM30" i="20"/>
  <c r="AN30" i="20"/>
  <c r="AO30" i="20"/>
  <c r="AP30" i="20"/>
  <c r="AQ30" i="20"/>
  <c r="AS30" i="20"/>
  <c r="AV29" i="20"/>
  <c r="AW29" i="20"/>
  <c r="AX29" i="20"/>
  <c r="AY29" i="20"/>
  <c r="AZ29" i="20"/>
  <c r="BA29" i="20"/>
  <c r="BB29" i="20"/>
  <c r="BC29" i="20"/>
  <c r="BD29" i="20"/>
  <c r="BF29" i="20"/>
  <c r="AI29" i="20"/>
  <c r="AJ29" i="20"/>
  <c r="AK29" i="20"/>
  <c r="AL29" i="20"/>
  <c r="AM29" i="20"/>
  <c r="AN29" i="20"/>
  <c r="AO29" i="20"/>
  <c r="AP29" i="20"/>
  <c r="AQ29" i="20"/>
  <c r="AS29" i="20"/>
  <c r="AV28" i="20"/>
  <c r="AW28" i="20"/>
  <c r="AX28" i="20"/>
  <c r="AY28" i="20"/>
  <c r="AZ28" i="20"/>
  <c r="BA28" i="20"/>
  <c r="BB28" i="20"/>
  <c r="BC28" i="20"/>
  <c r="BD28" i="20"/>
  <c r="BF28" i="20"/>
  <c r="AI28" i="20"/>
  <c r="AJ28" i="20"/>
  <c r="AK28" i="20"/>
  <c r="AL28" i="20"/>
  <c r="AM28" i="20"/>
  <c r="AN28" i="20"/>
  <c r="AO28" i="20"/>
  <c r="AP28" i="20"/>
  <c r="AQ28" i="20"/>
  <c r="AS28" i="20"/>
  <c r="AV27" i="20"/>
  <c r="AW27" i="20"/>
  <c r="AX27" i="20"/>
  <c r="AY27" i="20"/>
  <c r="AZ27" i="20"/>
  <c r="BA27" i="20"/>
  <c r="BB27" i="20"/>
  <c r="BC27" i="20"/>
  <c r="BD27" i="20"/>
  <c r="BF27" i="20"/>
  <c r="AI27" i="20"/>
  <c r="AJ27" i="20"/>
  <c r="AK27" i="20"/>
  <c r="AL27" i="20"/>
  <c r="AM27" i="20"/>
  <c r="AN27" i="20"/>
  <c r="AO27" i="20"/>
  <c r="AP27" i="20"/>
  <c r="AQ27" i="20"/>
  <c r="AS27" i="20"/>
  <c r="AV26" i="20"/>
  <c r="AW26" i="20"/>
  <c r="AX26" i="20"/>
  <c r="AY26" i="20"/>
  <c r="AZ26" i="20"/>
  <c r="BA26" i="20"/>
  <c r="BB26" i="20"/>
  <c r="BC26" i="20"/>
  <c r="BD26" i="20"/>
  <c r="BF26" i="20"/>
  <c r="AI26" i="20"/>
  <c r="AJ26" i="20"/>
  <c r="AK26" i="20"/>
  <c r="AL26" i="20"/>
  <c r="AM26" i="20"/>
  <c r="AN26" i="20"/>
  <c r="AO26" i="20"/>
  <c r="AP26" i="20"/>
  <c r="AQ26" i="20"/>
  <c r="AS26" i="20"/>
  <c r="AV25" i="20"/>
  <c r="AW25" i="20"/>
  <c r="AX25" i="20"/>
  <c r="AY25" i="20"/>
  <c r="AZ25" i="20"/>
  <c r="BA25" i="20"/>
  <c r="BB25" i="20"/>
  <c r="BC25" i="20"/>
  <c r="BD25" i="20"/>
  <c r="BF25" i="20"/>
  <c r="AI25" i="20"/>
  <c r="AJ25" i="20"/>
  <c r="AK25" i="20"/>
  <c r="AL25" i="20"/>
  <c r="AM25" i="20"/>
  <c r="AN25" i="20"/>
  <c r="AO25" i="20"/>
  <c r="AP25" i="20"/>
  <c r="AQ25" i="20"/>
  <c r="AS25" i="20"/>
  <c r="AV24" i="20"/>
  <c r="AW24" i="20"/>
  <c r="AX24" i="20"/>
  <c r="AY24" i="20"/>
  <c r="AZ24" i="20"/>
  <c r="BA24" i="20"/>
  <c r="BB24" i="20"/>
  <c r="BC24" i="20"/>
  <c r="BD24" i="20"/>
  <c r="BF24" i="20"/>
  <c r="AI24" i="20"/>
  <c r="AJ24" i="20"/>
  <c r="AK24" i="20"/>
  <c r="AL24" i="20"/>
  <c r="AM24" i="20"/>
  <c r="AN24" i="20"/>
  <c r="AO24" i="20"/>
  <c r="AP24" i="20"/>
  <c r="AQ24" i="20"/>
  <c r="AS24" i="20"/>
  <c r="AV23" i="20"/>
  <c r="AW23" i="20"/>
  <c r="AX23" i="20"/>
  <c r="AY23" i="20"/>
  <c r="AZ23" i="20"/>
  <c r="BA23" i="20"/>
  <c r="BB23" i="20"/>
  <c r="BC23" i="20"/>
  <c r="BD23" i="20"/>
  <c r="BF23" i="20"/>
  <c r="AI23" i="20"/>
  <c r="AJ23" i="20"/>
  <c r="AK23" i="20"/>
  <c r="AL23" i="20"/>
  <c r="AM23" i="20"/>
  <c r="AN23" i="20"/>
  <c r="AO23" i="20"/>
  <c r="AP23" i="20"/>
  <c r="AQ23" i="20"/>
  <c r="AS23" i="20"/>
  <c r="AV22" i="20"/>
  <c r="AW22" i="20"/>
  <c r="AX22" i="20"/>
  <c r="AY22" i="20"/>
  <c r="AZ22" i="20"/>
  <c r="BA22" i="20"/>
  <c r="BB22" i="20"/>
  <c r="BC22" i="20"/>
  <c r="BD22" i="20"/>
  <c r="BF22" i="20"/>
  <c r="AI22" i="20"/>
  <c r="AJ22" i="20"/>
  <c r="AK22" i="20"/>
  <c r="AL22" i="20"/>
  <c r="AM22" i="20"/>
  <c r="AN22" i="20"/>
  <c r="AO22" i="20"/>
  <c r="AP22" i="20"/>
  <c r="AQ22" i="20"/>
  <c r="AS22" i="20"/>
  <c r="AV21" i="20"/>
  <c r="AW21" i="20"/>
  <c r="AX21" i="20"/>
  <c r="AY21" i="20"/>
  <c r="AZ21" i="20"/>
  <c r="BA21" i="20"/>
  <c r="BB21" i="20"/>
  <c r="BC21" i="20"/>
  <c r="BD21" i="20"/>
  <c r="BF21" i="20"/>
  <c r="AI21" i="20"/>
  <c r="AJ21" i="20"/>
  <c r="AK21" i="20"/>
  <c r="AL21" i="20"/>
  <c r="AM21" i="20"/>
  <c r="AN21" i="20"/>
  <c r="AO21" i="20"/>
  <c r="AP21" i="20"/>
  <c r="AQ21" i="20"/>
  <c r="AS21" i="20"/>
  <c r="AV20" i="20"/>
  <c r="AW20" i="20"/>
  <c r="AX20" i="20"/>
  <c r="AY20" i="20"/>
  <c r="AZ20" i="20"/>
  <c r="BA20" i="20"/>
  <c r="BB20" i="20"/>
  <c r="BC20" i="20"/>
  <c r="BD20" i="20"/>
  <c r="BF20" i="20"/>
  <c r="AI20" i="20"/>
  <c r="AJ20" i="20"/>
  <c r="AK20" i="20"/>
  <c r="AL20" i="20"/>
  <c r="AM20" i="20"/>
  <c r="AN20" i="20"/>
  <c r="AO20" i="20"/>
  <c r="AP20" i="20"/>
  <c r="AQ20" i="20"/>
  <c r="AS20" i="20"/>
  <c r="AV19" i="20"/>
  <c r="AW19" i="20"/>
  <c r="AX19" i="20"/>
  <c r="AY19" i="20"/>
  <c r="AZ19" i="20"/>
  <c r="BA19" i="20"/>
  <c r="BB19" i="20"/>
  <c r="BC19" i="20"/>
  <c r="BD19" i="20"/>
  <c r="BF19" i="20"/>
  <c r="AI19" i="20"/>
  <c r="AJ19" i="20"/>
  <c r="AK19" i="20"/>
  <c r="AL19" i="20"/>
  <c r="AM19" i="20"/>
  <c r="AN19" i="20"/>
  <c r="AO19" i="20"/>
  <c r="AP19" i="20"/>
  <c r="AQ19" i="20"/>
  <c r="AS19" i="20"/>
  <c r="AV18" i="20"/>
  <c r="AW18" i="20"/>
  <c r="AX18" i="20"/>
  <c r="AY18" i="20"/>
  <c r="AZ18" i="20"/>
  <c r="BA18" i="20"/>
  <c r="BB18" i="20"/>
  <c r="BC18" i="20"/>
  <c r="BD18" i="20"/>
  <c r="BF18" i="20"/>
  <c r="AI18" i="20"/>
  <c r="AJ18" i="20"/>
  <c r="AK18" i="20"/>
  <c r="AL18" i="20"/>
  <c r="AM18" i="20"/>
  <c r="AN18" i="20"/>
  <c r="AO18" i="20"/>
  <c r="AP18" i="20"/>
  <c r="AQ18" i="20"/>
  <c r="AS18" i="20"/>
  <c r="E85" i="12"/>
  <c r="F85" i="12"/>
  <c r="G85" i="12"/>
  <c r="H85" i="12"/>
  <c r="I85" i="12"/>
  <c r="J85" i="12"/>
  <c r="K85" i="12"/>
  <c r="L85" i="12"/>
  <c r="M85" i="12"/>
  <c r="N85" i="12"/>
  <c r="O85" i="12"/>
  <c r="E86" i="12"/>
  <c r="F86" i="12"/>
  <c r="G86" i="12"/>
  <c r="H86" i="12"/>
  <c r="I86" i="12"/>
  <c r="J86" i="12"/>
  <c r="K86" i="12"/>
  <c r="L86" i="12"/>
  <c r="M86" i="12"/>
  <c r="N86" i="12"/>
  <c r="O86" i="12"/>
  <c r="E87" i="12"/>
  <c r="F87" i="12"/>
  <c r="G87" i="12"/>
  <c r="H87" i="12"/>
  <c r="I87" i="12"/>
  <c r="J87" i="12"/>
  <c r="K87" i="12"/>
  <c r="L87" i="12"/>
  <c r="M87" i="12"/>
  <c r="N87" i="12"/>
  <c r="O87" i="12"/>
  <c r="E88" i="12"/>
  <c r="F88" i="12"/>
  <c r="G88" i="12"/>
  <c r="H88" i="12"/>
  <c r="I88" i="12"/>
  <c r="J88" i="12"/>
  <c r="K88" i="12"/>
  <c r="L88" i="12"/>
  <c r="M88" i="12"/>
  <c r="N88" i="12"/>
  <c r="O88" i="12"/>
  <c r="E89" i="12"/>
  <c r="F89" i="12"/>
  <c r="G89" i="12"/>
  <c r="H89" i="12"/>
  <c r="I89" i="12"/>
  <c r="J89" i="12"/>
  <c r="K89" i="12"/>
  <c r="L89" i="12"/>
  <c r="M89" i="12"/>
  <c r="N89" i="12"/>
  <c r="O89" i="12"/>
  <c r="E90" i="12"/>
  <c r="F90" i="12"/>
  <c r="G90" i="12"/>
  <c r="H90" i="12"/>
  <c r="I90" i="12"/>
  <c r="J90" i="12"/>
  <c r="K90" i="12"/>
  <c r="L90" i="12"/>
  <c r="M90" i="12"/>
  <c r="N90" i="12"/>
  <c r="O90" i="12"/>
  <c r="E91" i="12"/>
  <c r="F91" i="12"/>
  <c r="G91" i="12"/>
  <c r="H91" i="12"/>
  <c r="I91" i="12"/>
  <c r="J91" i="12"/>
  <c r="K91" i="12"/>
  <c r="L91" i="12"/>
  <c r="M91" i="12"/>
  <c r="N91" i="12"/>
  <c r="O91" i="12"/>
  <c r="E92" i="12"/>
  <c r="F92" i="12"/>
  <c r="G92" i="12"/>
  <c r="H92" i="12"/>
  <c r="I92" i="12"/>
  <c r="J92" i="12"/>
  <c r="K92" i="12"/>
  <c r="L92" i="12"/>
  <c r="M92" i="12"/>
  <c r="N92" i="12"/>
  <c r="O92" i="12"/>
  <c r="E93" i="12"/>
  <c r="F93" i="12"/>
  <c r="G93" i="12"/>
  <c r="H93" i="12"/>
  <c r="I93" i="12"/>
  <c r="J93" i="12"/>
  <c r="K93" i="12"/>
  <c r="L93" i="12"/>
  <c r="M93" i="12"/>
  <c r="N93" i="12"/>
  <c r="O93" i="12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56" i="18"/>
  <c r="U57" i="18"/>
  <c r="U58" i="18"/>
  <c r="U59" i="18"/>
  <c r="U60" i="18"/>
  <c r="U61" i="18"/>
  <c r="U62" i="18"/>
  <c r="U63" i="18"/>
  <c r="U64" i="18"/>
  <c r="U65" i="18"/>
  <c r="U66" i="18"/>
  <c r="U67" i="18"/>
  <c r="U68" i="18"/>
  <c r="U69" i="18"/>
  <c r="U70" i="18"/>
  <c r="U71" i="18"/>
  <c r="U72" i="18"/>
  <c r="U73" i="18"/>
  <c r="U74" i="18"/>
  <c r="U75" i="18"/>
  <c r="U76" i="18"/>
  <c r="U77" i="18"/>
  <c r="U78" i="18"/>
  <c r="U79" i="18"/>
  <c r="U80" i="18"/>
  <c r="U81" i="18"/>
  <c r="U82" i="18"/>
  <c r="U83" i="18"/>
  <c r="U84" i="18"/>
  <c r="U85" i="18"/>
  <c r="U86" i="18"/>
  <c r="U87" i="18"/>
  <c r="U88" i="18"/>
  <c r="U89" i="18"/>
  <c r="U90" i="18"/>
  <c r="U91" i="18"/>
  <c r="U92" i="18"/>
  <c r="U93" i="18"/>
  <c r="H116" i="18"/>
  <c r="K128" i="18"/>
  <c r="K143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T60" i="18"/>
  <c r="T61" i="18"/>
  <c r="T62" i="18"/>
  <c r="T63" i="18"/>
  <c r="T64" i="18"/>
  <c r="T65" i="18"/>
  <c r="T66" i="18"/>
  <c r="T67" i="18"/>
  <c r="T68" i="18"/>
  <c r="T69" i="18"/>
  <c r="T70" i="18"/>
  <c r="T71" i="18"/>
  <c r="T72" i="18"/>
  <c r="T73" i="18"/>
  <c r="T74" i="18"/>
  <c r="T75" i="18"/>
  <c r="T76" i="18"/>
  <c r="T77" i="18"/>
  <c r="T78" i="18"/>
  <c r="T79" i="18"/>
  <c r="T80" i="18"/>
  <c r="T81" i="18"/>
  <c r="T82" i="18"/>
  <c r="T83" i="18"/>
  <c r="T84" i="18"/>
  <c r="T85" i="18"/>
  <c r="T86" i="18"/>
  <c r="T87" i="18"/>
  <c r="T88" i="18"/>
  <c r="T89" i="18"/>
  <c r="T90" i="18"/>
  <c r="T91" i="18"/>
  <c r="T92" i="18"/>
  <c r="T93" i="18"/>
  <c r="G116" i="18"/>
  <c r="K127" i="18"/>
  <c r="K142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60" i="18"/>
  <c r="S61" i="18"/>
  <c r="S62" i="18"/>
  <c r="S63" i="18"/>
  <c r="S64" i="18"/>
  <c r="S65" i="18"/>
  <c r="S66" i="18"/>
  <c r="S67" i="18"/>
  <c r="S68" i="18"/>
  <c r="S69" i="18"/>
  <c r="S70" i="18"/>
  <c r="S71" i="18"/>
  <c r="S72" i="18"/>
  <c r="S73" i="18"/>
  <c r="S74" i="18"/>
  <c r="S75" i="18"/>
  <c r="S76" i="18"/>
  <c r="S77" i="18"/>
  <c r="S78" i="18"/>
  <c r="S79" i="18"/>
  <c r="S80" i="18"/>
  <c r="S81" i="18"/>
  <c r="S82" i="18"/>
  <c r="S83" i="18"/>
  <c r="S84" i="18"/>
  <c r="S85" i="18"/>
  <c r="S86" i="18"/>
  <c r="S87" i="18"/>
  <c r="S88" i="18"/>
  <c r="S89" i="18"/>
  <c r="S90" i="18"/>
  <c r="S91" i="18"/>
  <c r="S92" i="18"/>
  <c r="S93" i="18"/>
  <c r="F116" i="18"/>
  <c r="K126" i="18"/>
  <c r="K141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60" i="18"/>
  <c r="R61" i="18"/>
  <c r="R62" i="18"/>
  <c r="R63" i="18"/>
  <c r="R64" i="18"/>
  <c r="R65" i="18"/>
  <c r="R66" i="18"/>
  <c r="R67" i="18"/>
  <c r="R68" i="18"/>
  <c r="R69" i="18"/>
  <c r="R70" i="18"/>
  <c r="R71" i="18"/>
  <c r="R72" i="18"/>
  <c r="R73" i="18"/>
  <c r="R74" i="18"/>
  <c r="R75" i="18"/>
  <c r="R76" i="18"/>
  <c r="R77" i="18"/>
  <c r="R78" i="18"/>
  <c r="R79" i="18"/>
  <c r="R80" i="18"/>
  <c r="R81" i="18"/>
  <c r="R82" i="18"/>
  <c r="R83" i="18"/>
  <c r="R84" i="18"/>
  <c r="R85" i="18"/>
  <c r="R86" i="18"/>
  <c r="R87" i="18"/>
  <c r="R88" i="18"/>
  <c r="R89" i="18"/>
  <c r="R90" i="18"/>
  <c r="R91" i="18"/>
  <c r="R92" i="18"/>
  <c r="R93" i="18"/>
  <c r="E116" i="18"/>
  <c r="K125" i="18"/>
  <c r="K140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107" i="18"/>
  <c r="I128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107" i="18"/>
  <c r="H128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107" i="18"/>
  <c r="G128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107" i="18"/>
  <c r="F128" i="18"/>
  <c r="I127" i="18"/>
  <c r="H127" i="18"/>
  <c r="G127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107" i="18"/>
  <c r="F127" i="18"/>
  <c r="I126" i="18"/>
  <c r="H126" i="18"/>
  <c r="G126" i="18"/>
  <c r="D107" i="18"/>
  <c r="F126" i="18"/>
  <c r="I125" i="18"/>
  <c r="H125" i="18"/>
  <c r="G125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6" i="18"/>
  <c r="D8" i="18"/>
  <c r="F125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48" i="18"/>
  <c r="Z49" i="18"/>
  <c r="Z50" i="18"/>
  <c r="Z51" i="18"/>
  <c r="Z52" i="18"/>
  <c r="Z53" i="18"/>
  <c r="Z54" i="18"/>
  <c r="Z55" i="18"/>
  <c r="Z56" i="18"/>
  <c r="Z57" i="18"/>
  <c r="Z58" i="18"/>
  <c r="Z59" i="18"/>
  <c r="Z60" i="18"/>
  <c r="Z61" i="18"/>
  <c r="Z62" i="18"/>
  <c r="Z63" i="18"/>
  <c r="Z64" i="18"/>
  <c r="Z65" i="18"/>
  <c r="Z66" i="18"/>
  <c r="Z67" i="18"/>
  <c r="Z68" i="18"/>
  <c r="Z69" i="18"/>
  <c r="Z70" i="18"/>
  <c r="Z71" i="18"/>
  <c r="Z72" i="18"/>
  <c r="Z73" i="18"/>
  <c r="Z74" i="18"/>
  <c r="Z75" i="18"/>
  <c r="Z76" i="18"/>
  <c r="Z77" i="18"/>
  <c r="Z78" i="18"/>
  <c r="Z79" i="18"/>
  <c r="Z80" i="18"/>
  <c r="Z81" i="18"/>
  <c r="Z82" i="18"/>
  <c r="Z83" i="18"/>
  <c r="Z84" i="18"/>
  <c r="Z85" i="18"/>
  <c r="Z86" i="18"/>
  <c r="Z87" i="18"/>
  <c r="Z88" i="18"/>
  <c r="Z89" i="18"/>
  <c r="Z90" i="18"/>
  <c r="Z91" i="18"/>
  <c r="Z92" i="18"/>
  <c r="Z93" i="18"/>
  <c r="Z97" i="18"/>
  <c r="AB93" i="18"/>
  <c r="AA93" i="18"/>
  <c r="L93" i="18"/>
  <c r="K93" i="18"/>
  <c r="J93" i="18"/>
  <c r="AB92" i="18"/>
  <c r="AA92" i="18"/>
  <c r="L92" i="18"/>
  <c r="K92" i="18"/>
  <c r="J92" i="18"/>
  <c r="AB91" i="18"/>
  <c r="AA91" i="18"/>
  <c r="L91" i="18"/>
  <c r="K91" i="18"/>
  <c r="J91" i="18"/>
  <c r="AB90" i="18"/>
  <c r="AA90" i="18"/>
  <c r="L90" i="18"/>
  <c r="K90" i="18"/>
  <c r="J90" i="18"/>
  <c r="AB89" i="18"/>
  <c r="AA89" i="18"/>
  <c r="L89" i="18"/>
  <c r="K89" i="18"/>
  <c r="J89" i="18"/>
  <c r="AB88" i="18"/>
  <c r="AA88" i="18"/>
  <c r="L88" i="18"/>
  <c r="K88" i="18"/>
  <c r="J88" i="18"/>
  <c r="AB87" i="18"/>
  <c r="AA87" i="18"/>
  <c r="L87" i="18"/>
  <c r="K87" i="18"/>
  <c r="J87" i="18"/>
  <c r="AB86" i="18"/>
  <c r="AA86" i="18"/>
  <c r="L86" i="18"/>
  <c r="K86" i="18"/>
  <c r="J86" i="18"/>
  <c r="AB85" i="18"/>
  <c r="AA85" i="18"/>
  <c r="L85" i="18"/>
  <c r="K85" i="18"/>
  <c r="J85" i="18"/>
  <c r="L84" i="18"/>
  <c r="K84" i="18"/>
  <c r="J84" i="18"/>
  <c r="L83" i="18"/>
  <c r="K83" i="18"/>
  <c r="J83" i="18"/>
  <c r="L82" i="18"/>
  <c r="K82" i="18"/>
  <c r="J82" i="18"/>
  <c r="L81" i="18"/>
  <c r="K81" i="18"/>
  <c r="J81" i="18"/>
  <c r="L80" i="18"/>
  <c r="K80" i="18"/>
  <c r="J80" i="18"/>
  <c r="L79" i="18"/>
  <c r="K79" i="18"/>
  <c r="J79" i="18"/>
  <c r="L78" i="18"/>
  <c r="K78" i="18"/>
  <c r="J78" i="18"/>
  <c r="L77" i="18"/>
  <c r="K77" i="18"/>
  <c r="J77" i="18"/>
  <c r="L76" i="18"/>
  <c r="K76" i="18"/>
  <c r="J76" i="18"/>
  <c r="L75" i="18"/>
  <c r="K75" i="18"/>
  <c r="J75" i="18"/>
  <c r="L74" i="18"/>
  <c r="K74" i="18"/>
  <c r="J74" i="18"/>
  <c r="L73" i="18"/>
  <c r="K73" i="18"/>
  <c r="J73" i="18"/>
  <c r="L72" i="18"/>
  <c r="K72" i="18"/>
  <c r="J72" i="18"/>
  <c r="L71" i="18"/>
  <c r="K71" i="18"/>
  <c r="J71" i="18"/>
  <c r="L70" i="18"/>
  <c r="K70" i="18"/>
  <c r="J70" i="18"/>
  <c r="L69" i="18"/>
  <c r="K69" i="18"/>
  <c r="J69" i="18"/>
  <c r="L68" i="18"/>
  <c r="K68" i="18"/>
  <c r="J68" i="18"/>
  <c r="L67" i="18"/>
  <c r="K67" i="18"/>
  <c r="J67" i="18"/>
  <c r="L66" i="18"/>
  <c r="K66" i="18"/>
  <c r="J66" i="18"/>
  <c r="L65" i="18"/>
  <c r="K65" i="18"/>
  <c r="J65" i="18"/>
  <c r="L64" i="18"/>
  <c r="K64" i="18"/>
  <c r="J64" i="18"/>
  <c r="L63" i="18"/>
  <c r="K63" i="18"/>
  <c r="J63" i="18"/>
  <c r="L62" i="18"/>
  <c r="K62" i="18"/>
  <c r="J62" i="18"/>
  <c r="L61" i="18"/>
  <c r="K61" i="18"/>
  <c r="J61" i="18"/>
  <c r="L60" i="18"/>
  <c r="K60" i="18"/>
  <c r="J60" i="18"/>
  <c r="L59" i="18"/>
  <c r="K59" i="18"/>
  <c r="J59" i="18"/>
  <c r="L58" i="18"/>
  <c r="K58" i="18"/>
  <c r="J58" i="18"/>
  <c r="L57" i="18"/>
  <c r="K57" i="18"/>
  <c r="J57" i="18"/>
  <c r="L56" i="18"/>
  <c r="K56" i="18"/>
  <c r="J56" i="18"/>
  <c r="L55" i="18"/>
  <c r="K55" i="18"/>
  <c r="J55" i="18"/>
  <c r="L54" i="18"/>
  <c r="K54" i="18"/>
  <c r="J54" i="18"/>
  <c r="L53" i="18"/>
  <c r="K53" i="18"/>
  <c r="J53" i="18"/>
  <c r="L52" i="18"/>
  <c r="K52" i="18"/>
  <c r="J52" i="18"/>
  <c r="L51" i="18"/>
  <c r="K51" i="18"/>
  <c r="J51" i="18"/>
  <c r="L50" i="18"/>
  <c r="K50" i="18"/>
  <c r="J50" i="18"/>
  <c r="L49" i="18"/>
  <c r="K49" i="18"/>
  <c r="J49" i="18"/>
  <c r="L48" i="18"/>
  <c r="K48" i="18"/>
  <c r="J48" i="18"/>
  <c r="L47" i="18"/>
  <c r="K47" i="18"/>
  <c r="J47" i="18"/>
  <c r="L46" i="18"/>
  <c r="K46" i="18"/>
  <c r="J46" i="18"/>
  <c r="L45" i="18"/>
  <c r="K45" i="18"/>
  <c r="J45" i="18"/>
  <c r="L44" i="18"/>
  <c r="K44" i="18"/>
  <c r="J44" i="18"/>
  <c r="L43" i="18"/>
  <c r="K43" i="18"/>
  <c r="J43" i="18"/>
  <c r="L42" i="18"/>
  <c r="K42" i="18"/>
  <c r="J42" i="18"/>
  <c r="L41" i="18"/>
  <c r="K41" i="18"/>
  <c r="J41" i="18"/>
  <c r="L40" i="18"/>
  <c r="K40" i="18"/>
  <c r="J40" i="18"/>
  <c r="L39" i="18"/>
  <c r="K39" i="18"/>
  <c r="J39" i="18"/>
  <c r="L38" i="18"/>
  <c r="K38" i="18"/>
  <c r="J38" i="18"/>
  <c r="L37" i="18"/>
  <c r="K37" i="18"/>
  <c r="J37" i="18"/>
  <c r="L36" i="18"/>
  <c r="K36" i="18"/>
  <c r="J36" i="18"/>
  <c r="L35" i="18"/>
  <c r="K35" i="18"/>
  <c r="J35" i="18"/>
  <c r="L34" i="18"/>
  <c r="K34" i="18"/>
  <c r="J34" i="18"/>
  <c r="G11" i="18"/>
  <c r="D125" i="12"/>
  <c r="D107" i="12"/>
  <c r="D126" i="12"/>
  <c r="AB93" i="12"/>
  <c r="AA93" i="12"/>
  <c r="Z93" i="12"/>
  <c r="X93" i="12"/>
  <c r="W93" i="12"/>
  <c r="V93" i="12"/>
  <c r="U93" i="12"/>
  <c r="T93" i="12"/>
  <c r="S93" i="12"/>
  <c r="R93" i="12"/>
  <c r="AB92" i="12"/>
  <c r="AA92" i="12"/>
  <c r="Z92" i="12"/>
  <c r="X92" i="12"/>
  <c r="W92" i="12"/>
  <c r="V92" i="12"/>
  <c r="U92" i="12"/>
  <c r="T92" i="12"/>
  <c r="S92" i="12"/>
  <c r="R92" i="12"/>
  <c r="AB91" i="12"/>
  <c r="AA91" i="12"/>
  <c r="Z91" i="12"/>
  <c r="X91" i="12"/>
  <c r="W91" i="12"/>
  <c r="V91" i="12"/>
  <c r="U91" i="12"/>
  <c r="T91" i="12"/>
  <c r="S91" i="12"/>
  <c r="R91" i="12"/>
  <c r="AB90" i="12"/>
  <c r="AA90" i="12"/>
  <c r="Z90" i="12"/>
  <c r="X90" i="12"/>
  <c r="W90" i="12"/>
  <c r="V90" i="12"/>
  <c r="U90" i="12"/>
  <c r="T90" i="12"/>
  <c r="S90" i="12"/>
  <c r="R90" i="12"/>
  <c r="AB89" i="12"/>
  <c r="AA89" i="12"/>
  <c r="Z89" i="12"/>
  <c r="X89" i="12"/>
  <c r="W89" i="12"/>
  <c r="V89" i="12"/>
  <c r="U89" i="12"/>
  <c r="T89" i="12"/>
  <c r="S89" i="12"/>
  <c r="R89" i="12"/>
  <c r="AB88" i="12"/>
  <c r="AA88" i="12"/>
  <c r="Z88" i="12"/>
  <c r="X88" i="12"/>
  <c r="W88" i="12"/>
  <c r="V88" i="12"/>
  <c r="U88" i="12"/>
  <c r="T88" i="12"/>
  <c r="S88" i="12"/>
  <c r="R88" i="12"/>
  <c r="AB87" i="12"/>
  <c r="AA87" i="12"/>
  <c r="Z87" i="12"/>
  <c r="X87" i="12"/>
  <c r="W87" i="12"/>
  <c r="V87" i="12"/>
  <c r="U87" i="12"/>
  <c r="T87" i="12"/>
  <c r="S87" i="12"/>
  <c r="R87" i="12"/>
  <c r="AB86" i="12"/>
  <c r="AA86" i="12"/>
  <c r="Z86" i="12"/>
  <c r="X86" i="12"/>
  <c r="W86" i="12"/>
  <c r="V86" i="12"/>
  <c r="U86" i="12"/>
  <c r="T86" i="12"/>
  <c r="S86" i="12"/>
  <c r="R86" i="12"/>
  <c r="AB85" i="12"/>
  <c r="AA85" i="12"/>
  <c r="Z85" i="12"/>
  <c r="X85" i="12"/>
  <c r="W85" i="12"/>
  <c r="V85" i="12"/>
  <c r="U85" i="12"/>
  <c r="T85" i="12"/>
  <c r="S85" i="12"/>
  <c r="R85" i="12"/>
  <c r="Z84" i="12"/>
  <c r="X84" i="12"/>
  <c r="W84" i="12"/>
  <c r="V84" i="12"/>
  <c r="U84" i="12"/>
  <c r="T84" i="12"/>
  <c r="S84" i="12"/>
  <c r="R84" i="12"/>
  <c r="O84" i="12"/>
  <c r="N84" i="12"/>
  <c r="M84" i="12"/>
  <c r="L84" i="12"/>
  <c r="K84" i="12"/>
  <c r="J84" i="12"/>
  <c r="I84" i="12"/>
  <c r="H84" i="12"/>
  <c r="G84" i="12"/>
  <c r="F84" i="12"/>
  <c r="E84" i="12"/>
  <c r="A84" i="12"/>
  <c r="Z83" i="12"/>
  <c r="X83" i="12"/>
  <c r="W83" i="12"/>
  <c r="V83" i="12"/>
  <c r="U83" i="12"/>
  <c r="T83" i="12"/>
  <c r="S83" i="12"/>
  <c r="R83" i="12"/>
  <c r="O83" i="12"/>
  <c r="N83" i="12"/>
  <c r="M83" i="12"/>
  <c r="L83" i="12"/>
  <c r="K83" i="12"/>
  <c r="J83" i="12"/>
  <c r="I83" i="12"/>
  <c r="H83" i="12"/>
  <c r="G83" i="12"/>
  <c r="F83" i="12"/>
  <c r="E83" i="12"/>
  <c r="A83" i="12"/>
  <c r="Z82" i="12"/>
  <c r="X82" i="12"/>
  <c r="W82" i="12"/>
  <c r="V82" i="12"/>
  <c r="U82" i="12"/>
  <c r="T82" i="12"/>
  <c r="S82" i="12"/>
  <c r="R82" i="12"/>
  <c r="O82" i="12"/>
  <c r="N82" i="12"/>
  <c r="M82" i="12"/>
  <c r="L82" i="12"/>
  <c r="K82" i="12"/>
  <c r="J82" i="12"/>
  <c r="I82" i="12"/>
  <c r="H82" i="12"/>
  <c r="G82" i="12"/>
  <c r="F82" i="12"/>
  <c r="E82" i="12"/>
  <c r="A82" i="12"/>
  <c r="Z81" i="12"/>
  <c r="X81" i="12"/>
  <c r="W81" i="12"/>
  <c r="V81" i="12"/>
  <c r="U81" i="12"/>
  <c r="T81" i="12"/>
  <c r="S81" i="12"/>
  <c r="R81" i="12"/>
  <c r="O81" i="12"/>
  <c r="N81" i="12"/>
  <c r="M81" i="12"/>
  <c r="L81" i="12"/>
  <c r="K81" i="12"/>
  <c r="J81" i="12"/>
  <c r="I81" i="12"/>
  <c r="H81" i="12"/>
  <c r="G81" i="12"/>
  <c r="F81" i="12"/>
  <c r="E81" i="12"/>
  <c r="A81" i="12"/>
  <c r="Z80" i="12"/>
  <c r="X80" i="12"/>
  <c r="W80" i="12"/>
  <c r="V80" i="12"/>
  <c r="U80" i="12"/>
  <c r="T80" i="12"/>
  <c r="S80" i="12"/>
  <c r="R80" i="12"/>
  <c r="O80" i="12"/>
  <c r="N80" i="12"/>
  <c r="M80" i="12"/>
  <c r="L80" i="12"/>
  <c r="K80" i="12"/>
  <c r="J80" i="12"/>
  <c r="I80" i="12"/>
  <c r="H80" i="12"/>
  <c r="G80" i="12"/>
  <c r="F80" i="12"/>
  <c r="E80" i="12"/>
  <c r="A80" i="12"/>
  <c r="Z79" i="12"/>
  <c r="X79" i="12"/>
  <c r="W79" i="12"/>
  <c r="V79" i="12"/>
  <c r="U79" i="12"/>
  <c r="T79" i="12"/>
  <c r="S79" i="12"/>
  <c r="R79" i="12"/>
  <c r="O79" i="12"/>
  <c r="N79" i="12"/>
  <c r="M79" i="12"/>
  <c r="L79" i="12"/>
  <c r="K79" i="12"/>
  <c r="J79" i="12"/>
  <c r="I79" i="12"/>
  <c r="H79" i="12"/>
  <c r="G79" i="12"/>
  <c r="F79" i="12"/>
  <c r="E79" i="12"/>
  <c r="A79" i="12"/>
  <c r="Z78" i="12"/>
  <c r="X78" i="12"/>
  <c r="W78" i="12"/>
  <c r="V78" i="12"/>
  <c r="U78" i="12"/>
  <c r="T78" i="12"/>
  <c r="S78" i="12"/>
  <c r="R78" i="12"/>
  <c r="O78" i="12"/>
  <c r="N78" i="12"/>
  <c r="M78" i="12"/>
  <c r="L78" i="12"/>
  <c r="K78" i="12"/>
  <c r="J78" i="12"/>
  <c r="I78" i="12"/>
  <c r="H78" i="12"/>
  <c r="G78" i="12"/>
  <c r="F78" i="12"/>
  <c r="E78" i="12"/>
  <c r="A78" i="12"/>
  <c r="Z77" i="12"/>
  <c r="X77" i="12"/>
  <c r="W77" i="12"/>
  <c r="V77" i="12"/>
  <c r="U77" i="12"/>
  <c r="T77" i="12"/>
  <c r="S77" i="12"/>
  <c r="R77" i="12"/>
  <c r="O77" i="12"/>
  <c r="N77" i="12"/>
  <c r="M77" i="12"/>
  <c r="L77" i="12"/>
  <c r="K77" i="12"/>
  <c r="J77" i="12"/>
  <c r="I77" i="12"/>
  <c r="H77" i="12"/>
  <c r="G77" i="12"/>
  <c r="F77" i="12"/>
  <c r="E77" i="12"/>
  <c r="A77" i="12"/>
  <c r="Z76" i="12"/>
  <c r="X76" i="12"/>
  <c r="W76" i="12"/>
  <c r="V76" i="12"/>
  <c r="U76" i="12"/>
  <c r="T76" i="12"/>
  <c r="S76" i="12"/>
  <c r="R76" i="12"/>
  <c r="O76" i="12"/>
  <c r="N76" i="12"/>
  <c r="M76" i="12"/>
  <c r="L76" i="12"/>
  <c r="K76" i="12"/>
  <c r="J76" i="12"/>
  <c r="I76" i="12"/>
  <c r="H76" i="12"/>
  <c r="G76" i="12"/>
  <c r="F76" i="12"/>
  <c r="E76" i="12"/>
  <c r="A76" i="12"/>
  <c r="Z75" i="12"/>
  <c r="X75" i="12"/>
  <c r="W75" i="12"/>
  <c r="V75" i="12"/>
  <c r="U75" i="12"/>
  <c r="T75" i="12"/>
  <c r="S75" i="12"/>
  <c r="R75" i="12"/>
  <c r="O75" i="12"/>
  <c r="N75" i="12"/>
  <c r="M75" i="12"/>
  <c r="L75" i="12"/>
  <c r="K75" i="12"/>
  <c r="J75" i="12"/>
  <c r="I75" i="12"/>
  <c r="H75" i="12"/>
  <c r="G75" i="12"/>
  <c r="F75" i="12"/>
  <c r="E75" i="12"/>
  <c r="A75" i="12"/>
  <c r="Z74" i="12"/>
  <c r="X74" i="12"/>
  <c r="W74" i="12"/>
  <c r="V74" i="12"/>
  <c r="U74" i="12"/>
  <c r="T74" i="12"/>
  <c r="S74" i="12"/>
  <c r="R74" i="12"/>
  <c r="O74" i="12"/>
  <c r="N74" i="12"/>
  <c r="M74" i="12"/>
  <c r="L74" i="12"/>
  <c r="K74" i="12"/>
  <c r="J74" i="12"/>
  <c r="I74" i="12"/>
  <c r="H74" i="12"/>
  <c r="G74" i="12"/>
  <c r="F74" i="12"/>
  <c r="E74" i="12"/>
  <c r="A74" i="12"/>
  <c r="Z73" i="12"/>
  <c r="X73" i="12"/>
  <c r="W73" i="12"/>
  <c r="V73" i="12"/>
  <c r="U73" i="12"/>
  <c r="T73" i="12"/>
  <c r="S73" i="12"/>
  <c r="R73" i="12"/>
  <c r="O73" i="12"/>
  <c r="N73" i="12"/>
  <c r="M73" i="12"/>
  <c r="L73" i="12"/>
  <c r="K73" i="12"/>
  <c r="J73" i="12"/>
  <c r="I73" i="12"/>
  <c r="H73" i="12"/>
  <c r="G73" i="12"/>
  <c r="F73" i="12"/>
  <c r="E73" i="12"/>
  <c r="A73" i="12"/>
  <c r="Z72" i="12"/>
  <c r="X72" i="12"/>
  <c r="W72" i="12"/>
  <c r="V72" i="12"/>
  <c r="U72" i="12"/>
  <c r="T72" i="12"/>
  <c r="S72" i="12"/>
  <c r="R72" i="12"/>
  <c r="O72" i="12"/>
  <c r="N72" i="12"/>
  <c r="M72" i="12"/>
  <c r="L72" i="12"/>
  <c r="K72" i="12"/>
  <c r="J72" i="12"/>
  <c r="I72" i="12"/>
  <c r="H72" i="12"/>
  <c r="G72" i="12"/>
  <c r="F72" i="12"/>
  <c r="E72" i="12"/>
  <c r="A72" i="12"/>
  <c r="Z71" i="12"/>
  <c r="X71" i="12"/>
  <c r="W71" i="12"/>
  <c r="V71" i="12"/>
  <c r="U71" i="12"/>
  <c r="T71" i="12"/>
  <c r="S71" i="12"/>
  <c r="R71" i="12"/>
  <c r="O71" i="12"/>
  <c r="N71" i="12"/>
  <c r="M71" i="12"/>
  <c r="L71" i="12"/>
  <c r="K71" i="12"/>
  <c r="J71" i="12"/>
  <c r="I71" i="12"/>
  <c r="H71" i="12"/>
  <c r="G71" i="12"/>
  <c r="F71" i="12"/>
  <c r="E71" i="12"/>
  <c r="A71" i="12"/>
  <c r="Z70" i="12"/>
  <c r="X70" i="12"/>
  <c r="W70" i="12"/>
  <c r="V70" i="12"/>
  <c r="U70" i="12"/>
  <c r="T70" i="12"/>
  <c r="S70" i="12"/>
  <c r="R70" i="12"/>
  <c r="O70" i="12"/>
  <c r="N70" i="12"/>
  <c r="M70" i="12"/>
  <c r="L70" i="12"/>
  <c r="K70" i="12"/>
  <c r="J70" i="12"/>
  <c r="I70" i="12"/>
  <c r="H70" i="12"/>
  <c r="G70" i="12"/>
  <c r="F70" i="12"/>
  <c r="E70" i="12"/>
  <c r="A70" i="12"/>
  <c r="Z69" i="12"/>
  <c r="X69" i="12"/>
  <c r="W69" i="12"/>
  <c r="V69" i="12"/>
  <c r="U69" i="12"/>
  <c r="T69" i="12"/>
  <c r="S69" i="12"/>
  <c r="R69" i="12"/>
  <c r="O69" i="12"/>
  <c r="N69" i="12"/>
  <c r="M69" i="12"/>
  <c r="L69" i="12"/>
  <c r="K69" i="12"/>
  <c r="J69" i="12"/>
  <c r="I69" i="12"/>
  <c r="H69" i="12"/>
  <c r="G69" i="12"/>
  <c r="F69" i="12"/>
  <c r="E69" i="12"/>
  <c r="A69" i="12"/>
  <c r="Z68" i="12"/>
  <c r="X68" i="12"/>
  <c r="W68" i="12"/>
  <c r="V68" i="12"/>
  <c r="U68" i="12"/>
  <c r="T68" i="12"/>
  <c r="S68" i="12"/>
  <c r="R68" i="12"/>
  <c r="O68" i="12"/>
  <c r="N68" i="12"/>
  <c r="M68" i="12"/>
  <c r="L68" i="12"/>
  <c r="K68" i="12"/>
  <c r="J68" i="12"/>
  <c r="I68" i="12"/>
  <c r="H68" i="12"/>
  <c r="G68" i="12"/>
  <c r="F68" i="12"/>
  <c r="E68" i="12"/>
  <c r="A68" i="12"/>
  <c r="Z67" i="12"/>
  <c r="X67" i="12"/>
  <c r="W67" i="12"/>
  <c r="V67" i="12"/>
  <c r="U67" i="12"/>
  <c r="T67" i="12"/>
  <c r="S67" i="12"/>
  <c r="R67" i="12"/>
  <c r="O67" i="12"/>
  <c r="N67" i="12"/>
  <c r="M67" i="12"/>
  <c r="L67" i="12"/>
  <c r="K67" i="12"/>
  <c r="J67" i="12"/>
  <c r="I67" i="12"/>
  <c r="H67" i="12"/>
  <c r="G67" i="12"/>
  <c r="F67" i="12"/>
  <c r="E67" i="12"/>
  <c r="A67" i="12"/>
  <c r="Z66" i="12"/>
  <c r="X66" i="12"/>
  <c r="W66" i="12"/>
  <c r="V66" i="12"/>
  <c r="U66" i="12"/>
  <c r="T66" i="12"/>
  <c r="S66" i="12"/>
  <c r="R66" i="12"/>
  <c r="O66" i="12"/>
  <c r="N66" i="12"/>
  <c r="M66" i="12"/>
  <c r="L66" i="12"/>
  <c r="K66" i="12"/>
  <c r="J66" i="12"/>
  <c r="I66" i="12"/>
  <c r="H66" i="12"/>
  <c r="G66" i="12"/>
  <c r="F66" i="12"/>
  <c r="E66" i="12"/>
  <c r="A66" i="12"/>
  <c r="Z65" i="12"/>
  <c r="X65" i="12"/>
  <c r="W65" i="12"/>
  <c r="V65" i="12"/>
  <c r="U65" i="12"/>
  <c r="T65" i="12"/>
  <c r="S65" i="12"/>
  <c r="R65" i="12"/>
  <c r="O65" i="12"/>
  <c r="N65" i="12"/>
  <c r="M65" i="12"/>
  <c r="L65" i="12"/>
  <c r="K65" i="12"/>
  <c r="J65" i="12"/>
  <c r="I65" i="12"/>
  <c r="H65" i="12"/>
  <c r="G65" i="12"/>
  <c r="F65" i="12"/>
  <c r="E65" i="12"/>
  <c r="A65" i="12"/>
  <c r="Z64" i="12"/>
  <c r="X64" i="12"/>
  <c r="W64" i="12"/>
  <c r="V64" i="12"/>
  <c r="U64" i="12"/>
  <c r="T64" i="12"/>
  <c r="S64" i="12"/>
  <c r="R64" i="12"/>
  <c r="O64" i="12"/>
  <c r="N64" i="12"/>
  <c r="M64" i="12"/>
  <c r="L64" i="12"/>
  <c r="K64" i="12"/>
  <c r="J64" i="12"/>
  <c r="I64" i="12"/>
  <c r="H64" i="12"/>
  <c r="G64" i="12"/>
  <c r="F64" i="12"/>
  <c r="E64" i="12"/>
  <c r="A64" i="12"/>
  <c r="Z63" i="12"/>
  <c r="X63" i="12"/>
  <c r="W63" i="12"/>
  <c r="V63" i="12"/>
  <c r="U63" i="12"/>
  <c r="T63" i="12"/>
  <c r="S63" i="12"/>
  <c r="R63" i="12"/>
  <c r="O63" i="12"/>
  <c r="N63" i="12"/>
  <c r="M63" i="12"/>
  <c r="L63" i="12"/>
  <c r="K63" i="12"/>
  <c r="J63" i="12"/>
  <c r="I63" i="12"/>
  <c r="H63" i="12"/>
  <c r="G63" i="12"/>
  <c r="F63" i="12"/>
  <c r="E63" i="12"/>
  <c r="A63" i="12"/>
  <c r="Z62" i="12"/>
  <c r="X62" i="12"/>
  <c r="W62" i="12"/>
  <c r="V62" i="12"/>
  <c r="U62" i="12"/>
  <c r="T62" i="12"/>
  <c r="S62" i="12"/>
  <c r="R62" i="12"/>
  <c r="O62" i="12"/>
  <c r="N62" i="12"/>
  <c r="M62" i="12"/>
  <c r="L62" i="12"/>
  <c r="K62" i="12"/>
  <c r="J62" i="12"/>
  <c r="I62" i="12"/>
  <c r="H62" i="12"/>
  <c r="G62" i="12"/>
  <c r="F62" i="12"/>
  <c r="E62" i="12"/>
  <c r="A62" i="12"/>
  <c r="Z61" i="12"/>
  <c r="X61" i="12"/>
  <c r="W61" i="12"/>
  <c r="V61" i="12"/>
  <c r="U61" i="12"/>
  <c r="T61" i="12"/>
  <c r="S61" i="12"/>
  <c r="R61" i="12"/>
  <c r="O61" i="12"/>
  <c r="N61" i="12"/>
  <c r="M61" i="12"/>
  <c r="L61" i="12"/>
  <c r="K61" i="12"/>
  <c r="J61" i="12"/>
  <c r="I61" i="12"/>
  <c r="H61" i="12"/>
  <c r="G61" i="12"/>
  <c r="F61" i="12"/>
  <c r="E61" i="12"/>
  <c r="A61" i="12"/>
  <c r="Z60" i="12"/>
  <c r="X60" i="12"/>
  <c r="W60" i="12"/>
  <c r="V60" i="12"/>
  <c r="U60" i="12"/>
  <c r="T60" i="12"/>
  <c r="S60" i="12"/>
  <c r="R60" i="12"/>
  <c r="O60" i="12"/>
  <c r="N60" i="12"/>
  <c r="M60" i="12"/>
  <c r="L60" i="12"/>
  <c r="K60" i="12"/>
  <c r="J60" i="12"/>
  <c r="I60" i="12"/>
  <c r="H60" i="12"/>
  <c r="G60" i="12"/>
  <c r="F60" i="12"/>
  <c r="E60" i="12"/>
  <c r="A60" i="12"/>
  <c r="Z59" i="12"/>
  <c r="X59" i="12"/>
  <c r="W59" i="12"/>
  <c r="V59" i="12"/>
  <c r="U59" i="12"/>
  <c r="T59" i="12"/>
  <c r="S59" i="12"/>
  <c r="R59" i="12"/>
  <c r="O59" i="12"/>
  <c r="N59" i="12"/>
  <c r="M59" i="12"/>
  <c r="L59" i="12"/>
  <c r="K59" i="12"/>
  <c r="J59" i="12"/>
  <c r="I59" i="12"/>
  <c r="H59" i="12"/>
  <c r="G59" i="12"/>
  <c r="F59" i="12"/>
  <c r="E59" i="12"/>
  <c r="A59" i="12"/>
  <c r="Z58" i="12"/>
  <c r="X58" i="12"/>
  <c r="W58" i="12"/>
  <c r="V58" i="12"/>
  <c r="U58" i="12"/>
  <c r="T58" i="12"/>
  <c r="S58" i="12"/>
  <c r="R58" i="12"/>
  <c r="O58" i="12"/>
  <c r="N58" i="12"/>
  <c r="M58" i="12"/>
  <c r="L58" i="12"/>
  <c r="K58" i="12"/>
  <c r="J58" i="12"/>
  <c r="I58" i="12"/>
  <c r="H58" i="12"/>
  <c r="G58" i="12"/>
  <c r="F58" i="12"/>
  <c r="E58" i="12"/>
  <c r="A58" i="12"/>
  <c r="Z57" i="12"/>
  <c r="X57" i="12"/>
  <c r="W57" i="12"/>
  <c r="V57" i="12"/>
  <c r="U57" i="12"/>
  <c r="T57" i="12"/>
  <c r="S57" i="12"/>
  <c r="R57" i="12"/>
  <c r="O57" i="12"/>
  <c r="N57" i="12"/>
  <c r="M57" i="12"/>
  <c r="L57" i="12"/>
  <c r="K57" i="12"/>
  <c r="J57" i="12"/>
  <c r="I57" i="12"/>
  <c r="H57" i="12"/>
  <c r="G57" i="12"/>
  <c r="F57" i="12"/>
  <c r="E57" i="12"/>
  <c r="A57" i="12"/>
  <c r="Z56" i="12"/>
  <c r="X56" i="12"/>
  <c r="W56" i="12"/>
  <c r="V56" i="12"/>
  <c r="U56" i="12"/>
  <c r="T56" i="12"/>
  <c r="S56" i="12"/>
  <c r="R56" i="12"/>
  <c r="O56" i="12"/>
  <c r="N56" i="12"/>
  <c r="M56" i="12"/>
  <c r="L56" i="12"/>
  <c r="K56" i="12"/>
  <c r="J56" i="12"/>
  <c r="I56" i="12"/>
  <c r="H56" i="12"/>
  <c r="G56" i="12"/>
  <c r="F56" i="12"/>
  <c r="E56" i="12"/>
  <c r="A56" i="12"/>
  <c r="Z55" i="12"/>
  <c r="X55" i="12"/>
  <c r="W55" i="12"/>
  <c r="V55" i="12"/>
  <c r="U55" i="12"/>
  <c r="T55" i="12"/>
  <c r="S55" i="12"/>
  <c r="R55" i="12"/>
  <c r="O55" i="12"/>
  <c r="N55" i="12"/>
  <c r="M55" i="12"/>
  <c r="L55" i="12"/>
  <c r="K55" i="12"/>
  <c r="J55" i="12"/>
  <c r="I55" i="12"/>
  <c r="H55" i="12"/>
  <c r="G55" i="12"/>
  <c r="F55" i="12"/>
  <c r="E55" i="12"/>
  <c r="A55" i="12"/>
  <c r="Z54" i="12"/>
  <c r="X54" i="12"/>
  <c r="W54" i="12"/>
  <c r="V54" i="12"/>
  <c r="U54" i="12"/>
  <c r="T54" i="12"/>
  <c r="S54" i="12"/>
  <c r="R54" i="12"/>
  <c r="O54" i="12"/>
  <c r="N54" i="12"/>
  <c r="M54" i="12"/>
  <c r="L54" i="12"/>
  <c r="K54" i="12"/>
  <c r="J54" i="12"/>
  <c r="I54" i="12"/>
  <c r="H54" i="12"/>
  <c r="G54" i="12"/>
  <c r="F54" i="12"/>
  <c r="E54" i="12"/>
  <c r="A54" i="12"/>
  <c r="Z53" i="12"/>
  <c r="X53" i="12"/>
  <c r="W53" i="12"/>
  <c r="V53" i="12"/>
  <c r="U53" i="12"/>
  <c r="T53" i="12"/>
  <c r="S53" i="12"/>
  <c r="R53" i="12"/>
  <c r="O53" i="12"/>
  <c r="N53" i="12"/>
  <c r="M53" i="12"/>
  <c r="L53" i="12"/>
  <c r="K53" i="12"/>
  <c r="J53" i="12"/>
  <c r="I53" i="12"/>
  <c r="H53" i="12"/>
  <c r="G53" i="12"/>
  <c r="F53" i="12"/>
  <c r="E53" i="12"/>
  <c r="A53" i="12"/>
  <c r="Z52" i="12"/>
  <c r="X52" i="12"/>
  <c r="W52" i="12"/>
  <c r="V52" i="12"/>
  <c r="U52" i="12"/>
  <c r="T52" i="12"/>
  <c r="S52" i="12"/>
  <c r="R52" i="12"/>
  <c r="O52" i="12"/>
  <c r="N52" i="12"/>
  <c r="M52" i="12"/>
  <c r="L52" i="12"/>
  <c r="K52" i="12"/>
  <c r="J52" i="12"/>
  <c r="I52" i="12"/>
  <c r="H52" i="12"/>
  <c r="G52" i="12"/>
  <c r="F52" i="12"/>
  <c r="E52" i="12"/>
  <c r="A52" i="12"/>
  <c r="Z51" i="12"/>
  <c r="X51" i="12"/>
  <c r="W51" i="12"/>
  <c r="V51" i="12"/>
  <c r="U51" i="12"/>
  <c r="T51" i="12"/>
  <c r="S51" i="12"/>
  <c r="R51" i="12"/>
  <c r="O51" i="12"/>
  <c r="N51" i="12"/>
  <c r="M51" i="12"/>
  <c r="L51" i="12"/>
  <c r="K51" i="12"/>
  <c r="J51" i="12"/>
  <c r="I51" i="12"/>
  <c r="H51" i="12"/>
  <c r="G51" i="12"/>
  <c r="F51" i="12"/>
  <c r="E51" i="12"/>
  <c r="A51" i="12"/>
  <c r="Z50" i="12"/>
  <c r="X50" i="12"/>
  <c r="W50" i="12"/>
  <c r="V50" i="12"/>
  <c r="U50" i="12"/>
  <c r="T50" i="12"/>
  <c r="S50" i="12"/>
  <c r="R50" i="12"/>
  <c r="O50" i="12"/>
  <c r="N50" i="12"/>
  <c r="M50" i="12"/>
  <c r="L50" i="12"/>
  <c r="K50" i="12"/>
  <c r="J50" i="12"/>
  <c r="I50" i="12"/>
  <c r="H50" i="12"/>
  <c r="G50" i="12"/>
  <c r="F50" i="12"/>
  <c r="E50" i="12"/>
  <c r="A50" i="12"/>
  <c r="Z49" i="12"/>
  <c r="X49" i="12"/>
  <c r="W49" i="12"/>
  <c r="V49" i="12"/>
  <c r="U49" i="12"/>
  <c r="T49" i="12"/>
  <c r="S49" i="12"/>
  <c r="R49" i="12"/>
  <c r="O49" i="12"/>
  <c r="N49" i="12"/>
  <c r="M49" i="12"/>
  <c r="L49" i="12"/>
  <c r="K49" i="12"/>
  <c r="J49" i="12"/>
  <c r="I49" i="12"/>
  <c r="H49" i="12"/>
  <c r="G49" i="12"/>
  <c r="F49" i="12"/>
  <c r="E49" i="12"/>
  <c r="A49" i="12"/>
  <c r="Z48" i="12"/>
  <c r="X48" i="12"/>
  <c r="W48" i="12"/>
  <c r="V48" i="12"/>
  <c r="U48" i="12"/>
  <c r="T48" i="12"/>
  <c r="S48" i="12"/>
  <c r="R48" i="12"/>
  <c r="O48" i="12"/>
  <c r="N48" i="12"/>
  <c r="M48" i="12"/>
  <c r="L48" i="12"/>
  <c r="K48" i="12"/>
  <c r="J48" i="12"/>
  <c r="I48" i="12"/>
  <c r="H48" i="12"/>
  <c r="G48" i="12"/>
  <c r="F48" i="12"/>
  <c r="E48" i="12"/>
  <c r="A48" i="12"/>
  <c r="Z47" i="12"/>
  <c r="X47" i="12"/>
  <c r="W47" i="12"/>
  <c r="V47" i="12"/>
  <c r="U47" i="12"/>
  <c r="T47" i="12"/>
  <c r="S47" i="12"/>
  <c r="R47" i="12"/>
  <c r="O47" i="12"/>
  <c r="N47" i="12"/>
  <c r="M47" i="12"/>
  <c r="L47" i="12"/>
  <c r="K47" i="12"/>
  <c r="J47" i="12"/>
  <c r="I47" i="12"/>
  <c r="H47" i="12"/>
  <c r="G47" i="12"/>
  <c r="F47" i="12"/>
  <c r="E47" i="12"/>
  <c r="A47" i="12"/>
  <c r="Z46" i="12"/>
  <c r="X46" i="12"/>
  <c r="W46" i="12"/>
  <c r="V46" i="12"/>
  <c r="U46" i="12"/>
  <c r="T46" i="12"/>
  <c r="S46" i="12"/>
  <c r="R46" i="12"/>
  <c r="O46" i="12"/>
  <c r="N46" i="12"/>
  <c r="M46" i="12"/>
  <c r="L46" i="12"/>
  <c r="K46" i="12"/>
  <c r="J46" i="12"/>
  <c r="I46" i="12"/>
  <c r="H46" i="12"/>
  <c r="G46" i="12"/>
  <c r="F46" i="12"/>
  <c r="E46" i="12"/>
  <c r="A46" i="12"/>
  <c r="Z45" i="12"/>
  <c r="X45" i="12"/>
  <c r="W45" i="12"/>
  <c r="V45" i="12"/>
  <c r="U45" i="12"/>
  <c r="T45" i="12"/>
  <c r="S45" i="12"/>
  <c r="R45" i="12"/>
  <c r="O45" i="12"/>
  <c r="N45" i="12"/>
  <c r="M45" i="12"/>
  <c r="L45" i="12"/>
  <c r="K45" i="12"/>
  <c r="J45" i="12"/>
  <c r="I45" i="12"/>
  <c r="H45" i="12"/>
  <c r="G45" i="12"/>
  <c r="F45" i="12"/>
  <c r="E45" i="12"/>
  <c r="A45" i="12"/>
  <c r="Z44" i="12"/>
  <c r="X44" i="12"/>
  <c r="W44" i="12"/>
  <c r="V44" i="12"/>
  <c r="U44" i="12"/>
  <c r="T44" i="12"/>
  <c r="S44" i="12"/>
  <c r="R44" i="12"/>
  <c r="O44" i="12"/>
  <c r="N44" i="12"/>
  <c r="M44" i="12"/>
  <c r="L44" i="12"/>
  <c r="K44" i="12"/>
  <c r="J44" i="12"/>
  <c r="I44" i="12"/>
  <c r="H44" i="12"/>
  <c r="G44" i="12"/>
  <c r="F44" i="12"/>
  <c r="E44" i="12"/>
  <c r="A44" i="12"/>
  <c r="Z43" i="12"/>
  <c r="X43" i="12"/>
  <c r="W43" i="12"/>
  <c r="V43" i="12"/>
  <c r="U43" i="12"/>
  <c r="T43" i="12"/>
  <c r="S43" i="12"/>
  <c r="R43" i="12"/>
  <c r="O43" i="12"/>
  <c r="N43" i="12"/>
  <c r="M43" i="12"/>
  <c r="L43" i="12"/>
  <c r="K43" i="12"/>
  <c r="J43" i="12"/>
  <c r="I43" i="12"/>
  <c r="H43" i="12"/>
  <c r="G43" i="12"/>
  <c r="F43" i="12"/>
  <c r="E43" i="12"/>
  <c r="A43" i="12"/>
  <c r="Z42" i="12"/>
  <c r="X42" i="12"/>
  <c r="W42" i="12"/>
  <c r="V42" i="12"/>
  <c r="U42" i="12"/>
  <c r="T42" i="12"/>
  <c r="S42" i="12"/>
  <c r="R42" i="12"/>
  <c r="O42" i="12"/>
  <c r="N42" i="12"/>
  <c r="M42" i="12"/>
  <c r="L42" i="12"/>
  <c r="K42" i="12"/>
  <c r="J42" i="12"/>
  <c r="I42" i="12"/>
  <c r="H42" i="12"/>
  <c r="G42" i="12"/>
  <c r="F42" i="12"/>
  <c r="E42" i="12"/>
  <c r="A42" i="12"/>
  <c r="Z41" i="12"/>
  <c r="X41" i="12"/>
  <c r="W41" i="12"/>
  <c r="V41" i="12"/>
  <c r="U41" i="12"/>
  <c r="T41" i="12"/>
  <c r="S41" i="12"/>
  <c r="R41" i="12"/>
  <c r="O41" i="12"/>
  <c r="N41" i="12"/>
  <c r="M41" i="12"/>
  <c r="L41" i="12"/>
  <c r="K41" i="12"/>
  <c r="J41" i="12"/>
  <c r="I41" i="12"/>
  <c r="H41" i="12"/>
  <c r="G41" i="12"/>
  <c r="F41" i="12"/>
  <c r="E41" i="12"/>
  <c r="A41" i="12"/>
  <c r="Z40" i="12"/>
  <c r="X40" i="12"/>
  <c r="W40" i="12"/>
  <c r="V40" i="12"/>
  <c r="U40" i="12"/>
  <c r="T40" i="12"/>
  <c r="S40" i="12"/>
  <c r="R40" i="12"/>
  <c r="O40" i="12"/>
  <c r="N40" i="12"/>
  <c r="M40" i="12"/>
  <c r="L40" i="12"/>
  <c r="K40" i="12"/>
  <c r="J40" i="12"/>
  <c r="I40" i="12"/>
  <c r="H40" i="12"/>
  <c r="G40" i="12"/>
  <c r="F40" i="12"/>
  <c r="E40" i="12"/>
  <c r="A40" i="12"/>
  <c r="Z39" i="12"/>
  <c r="X39" i="12"/>
  <c r="W39" i="12"/>
  <c r="V39" i="12"/>
  <c r="U39" i="12"/>
  <c r="T39" i="12"/>
  <c r="S39" i="12"/>
  <c r="R39" i="12"/>
  <c r="O39" i="12"/>
  <c r="N39" i="12"/>
  <c r="M39" i="12"/>
  <c r="L39" i="12"/>
  <c r="K39" i="12"/>
  <c r="J39" i="12"/>
  <c r="I39" i="12"/>
  <c r="H39" i="12"/>
  <c r="G39" i="12"/>
  <c r="F39" i="12"/>
  <c r="E39" i="12"/>
  <c r="A39" i="12"/>
  <c r="Z38" i="12"/>
  <c r="X38" i="12"/>
  <c r="W38" i="12"/>
  <c r="V38" i="12"/>
  <c r="U38" i="12"/>
  <c r="T38" i="12"/>
  <c r="S38" i="12"/>
  <c r="R38" i="12"/>
  <c r="O38" i="12"/>
  <c r="N38" i="12"/>
  <c r="M38" i="12"/>
  <c r="L38" i="12"/>
  <c r="K38" i="12"/>
  <c r="J38" i="12"/>
  <c r="I38" i="12"/>
  <c r="H38" i="12"/>
  <c r="G38" i="12"/>
  <c r="F38" i="12"/>
  <c r="E38" i="12"/>
  <c r="A38" i="12"/>
  <c r="Z37" i="12"/>
  <c r="X37" i="12"/>
  <c r="W37" i="12"/>
  <c r="V37" i="12"/>
  <c r="U37" i="12"/>
  <c r="T37" i="12"/>
  <c r="S37" i="12"/>
  <c r="R37" i="12"/>
  <c r="O37" i="12"/>
  <c r="N37" i="12"/>
  <c r="M37" i="12"/>
  <c r="L37" i="12"/>
  <c r="K37" i="12"/>
  <c r="J37" i="12"/>
  <c r="I37" i="12"/>
  <c r="H37" i="12"/>
  <c r="G37" i="12"/>
  <c r="F37" i="12"/>
  <c r="E37" i="12"/>
  <c r="A37" i="12"/>
  <c r="Z36" i="12"/>
  <c r="X36" i="12"/>
  <c r="W36" i="12"/>
  <c r="V36" i="12"/>
  <c r="U36" i="12"/>
  <c r="T36" i="12"/>
  <c r="S36" i="12"/>
  <c r="R36" i="12"/>
  <c r="O36" i="12"/>
  <c r="N36" i="12"/>
  <c r="M36" i="12"/>
  <c r="L36" i="12"/>
  <c r="K36" i="12"/>
  <c r="J36" i="12"/>
  <c r="I36" i="12"/>
  <c r="H36" i="12"/>
  <c r="G36" i="12"/>
  <c r="F36" i="12"/>
  <c r="E36" i="12"/>
  <c r="A36" i="12"/>
  <c r="Z35" i="12"/>
  <c r="X35" i="12"/>
  <c r="W35" i="12"/>
  <c r="V35" i="12"/>
  <c r="U35" i="12"/>
  <c r="T35" i="12"/>
  <c r="S35" i="12"/>
  <c r="R35" i="12"/>
  <c r="O35" i="12"/>
  <c r="N35" i="12"/>
  <c r="M35" i="12"/>
  <c r="L35" i="12"/>
  <c r="K35" i="12"/>
  <c r="J35" i="12"/>
  <c r="I35" i="12"/>
  <c r="H35" i="12"/>
  <c r="G35" i="12"/>
  <c r="F35" i="12"/>
  <c r="E35" i="12"/>
  <c r="A35" i="12"/>
  <c r="Z34" i="12"/>
  <c r="Z97" i="12"/>
  <c r="X34" i="12"/>
  <c r="J116" i="12"/>
  <c r="L131" i="12"/>
  <c r="L149" i="12"/>
  <c r="W34" i="12"/>
  <c r="I116" i="12"/>
  <c r="L130" i="12"/>
  <c r="L148" i="12"/>
  <c r="V34" i="12"/>
  <c r="H116" i="12"/>
  <c r="L129" i="12"/>
  <c r="L147" i="12"/>
  <c r="U34" i="12"/>
  <c r="G116" i="12"/>
  <c r="L128" i="12"/>
  <c r="L146" i="12"/>
  <c r="T34" i="12"/>
  <c r="F116" i="12"/>
  <c r="L127" i="12"/>
  <c r="L145" i="12"/>
  <c r="S34" i="12"/>
  <c r="E116" i="12"/>
  <c r="L126" i="12"/>
  <c r="L144" i="12"/>
  <c r="R34" i="12"/>
  <c r="D116" i="12"/>
  <c r="L125" i="12"/>
  <c r="L143" i="12"/>
  <c r="O34" i="12"/>
  <c r="O107" i="12"/>
  <c r="J131" i="12"/>
  <c r="N34" i="12"/>
  <c r="N107" i="12"/>
  <c r="M34" i="12"/>
  <c r="M107" i="12"/>
  <c r="L34" i="12"/>
  <c r="L107" i="12"/>
  <c r="K34" i="12"/>
  <c r="K107" i="12"/>
  <c r="J34" i="12"/>
  <c r="J107" i="12"/>
  <c r="I34" i="12"/>
  <c r="I107" i="12"/>
  <c r="H34" i="12"/>
  <c r="H107" i="12"/>
  <c r="G34" i="12"/>
  <c r="G107" i="12"/>
  <c r="F34" i="12"/>
  <c r="F107" i="12"/>
  <c r="E34" i="12"/>
  <c r="E107" i="12"/>
  <c r="A34" i="12"/>
  <c r="A96" i="12"/>
  <c r="G11" i="12"/>
  <c r="D127" i="12"/>
  <c r="E126" i="12"/>
  <c r="F125" i="12"/>
  <c r="D128" i="12"/>
  <c r="E127" i="12"/>
  <c r="F126" i="12"/>
  <c r="G125" i="12"/>
  <c r="D129" i="12"/>
  <c r="E128" i="12"/>
  <c r="F127" i="12"/>
  <c r="G126" i="12"/>
  <c r="H125" i="12"/>
  <c r="D130" i="12"/>
  <c r="E129" i="12"/>
  <c r="F128" i="12"/>
  <c r="G127" i="12"/>
  <c r="H126" i="12"/>
  <c r="I125" i="12"/>
  <c r="D131" i="12"/>
  <c r="E130" i="12"/>
  <c r="F129" i="12"/>
  <c r="G128" i="12"/>
  <c r="H127" i="12"/>
  <c r="I126" i="12"/>
  <c r="J125" i="12"/>
  <c r="E131" i="12"/>
  <c r="F130" i="12"/>
  <c r="G129" i="12"/>
  <c r="H128" i="12"/>
  <c r="I127" i="12"/>
  <c r="J126" i="12"/>
  <c r="F131" i="12"/>
  <c r="G130" i="12"/>
  <c r="H129" i="12"/>
  <c r="I128" i="12"/>
  <c r="J127" i="12"/>
  <c r="G131" i="12"/>
  <c r="H130" i="12"/>
  <c r="I129" i="12"/>
  <c r="J128" i="12"/>
  <c r="H131" i="12"/>
  <c r="I130" i="12"/>
  <c r="J129" i="12"/>
  <c r="I131" i="12"/>
  <c r="J130" i="12"/>
  <c r="E125" i="12"/>
  <c r="D143" i="12" a="1"/>
  <c r="J149" i="12"/>
  <c r="I149" i="12"/>
  <c r="H149" i="12"/>
  <c r="G149" i="12"/>
  <c r="F149" i="12"/>
  <c r="E149" i="12"/>
  <c r="D149" i="12"/>
  <c r="J148" i="12"/>
  <c r="I148" i="12"/>
  <c r="H148" i="12"/>
  <c r="G148" i="12"/>
  <c r="F148" i="12"/>
  <c r="E148" i="12"/>
  <c r="D148" i="12"/>
  <c r="J147" i="12"/>
  <c r="I147" i="12"/>
  <c r="H147" i="12"/>
  <c r="G147" i="12"/>
  <c r="F147" i="12"/>
  <c r="E147" i="12"/>
  <c r="D147" i="12"/>
  <c r="J146" i="12"/>
  <c r="I146" i="12"/>
  <c r="H146" i="12"/>
  <c r="G146" i="12"/>
  <c r="F146" i="12"/>
  <c r="E146" i="12"/>
  <c r="D146" i="12"/>
  <c r="J145" i="12"/>
  <c r="I145" i="12"/>
  <c r="H145" i="12"/>
  <c r="G145" i="12"/>
  <c r="F145" i="12"/>
  <c r="E145" i="12"/>
  <c r="D145" i="12"/>
  <c r="J144" i="12"/>
  <c r="I144" i="12"/>
  <c r="H144" i="12"/>
  <c r="G144" i="12"/>
  <c r="F144" i="12"/>
  <c r="E144" i="12"/>
  <c r="D144" i="12"/>
  <c r="J143" i="12"/>
  <c r="I143" i="12"/>
  <c r="H143" i="12"/>
  <c r="G143" i="12"/>
  <c r="F143" i="12"/>
  <c r="E143" i="12"/>
  <c r="D143" i="12"/>
  <c r="F140" i="18" a="1"/>
  <c r="F140" i="18"/>
  <c r="G140" i="18"/>
  <c r="H140" i="18"/>
  <c r="I140" i="18"/>
  <c r="F141" i="18"/>
  <c r="G141" i="18"/>
  <c r="H141" i="18"/>
  <c r="I141" i="18"/>
  <c r="F142" i="18"/>
  <c r="G142" i="18"/>
  <c r="H142" i="18"/>
  <c r="I142" i="18"/>
  <c r="F143" i="18"/>
  <c r="G143" i="18"/>
  <c r="H143" i="18"/>
  <c r="I143" i="18"/>
  <c r="M140" i="18" a="1"/>
  <c r="M140" i="18"/>
  <c r="M141" i="18"/>
  <c r="M142" i="18"/>
  <c r="M143" i="18"/>
  <c r="AA34" i="18"/>
  <c r="AB34" i="18"/>
  <c r="AA35" i="18"/>
  <c r="AB35" i="18"/>
  <c r="AA36" i="18"/>
  <c r="AB36" i="18"/>
  <c r="AA37" i="18"/>
  <c r="AB37" i="18"/>
  <c r="AA38" i="18"/>
  <c r="AB38" i="18"/>
  <c r="AA39" i="18"/>
  <c r="AB39" i="18"/>
  <c r="AA40" i="18"/>
  <c r="AB40" i="18"/>
  <c r="AA41" i="18"/>
  <c r="AB41" i="18"/>
  <c r="AA42" i="18"/>
  <c r="AB42" i="18"/>
  <c r="AA43" i="18"/>
  <c r="AB43" i="18"/>
  <c r="AA44" i="18"/>
  <c r="AB44" i="18"/>
  <c r="AA45" i="18"/>
  <c r="AB45" i="18"/>
  <c r="AA46" i="18"/>
  <c r="AB46" i="18"/>
  <c r="AA47" i="18"/>
  <c r="AB47" i="18"/>
  <c r="AA48" i="18"/>
  <c r="AB48" i="18"/>
  <c r="AA49" i="18"/>
  <c r="AB49" i="18"/>
  <c r="AA50" i="18"/>
  <c r="AB50" i="18"/>
  <c r="AA51" i="18"/>
  <c r="AB51" i="18"/>
  <c r="AA52" i="18"/>
  <c r="AB52" i="18"/>
  <c r="AA53" i="18"/>
  <c r="AB53" i="18"/>
  <c r="AA54" i="18"/>
  <c r="AB54" i="18"/>
  <c r="AA55" i="18"/>
  <c r="AB55" i="18"/>
  <c r="AA56" i="18"/>
  <c r="AB56" i="18"/>
  <c r="AA57" i="18"/>
  <c r="AB57" i="18"/>
  <c r="AA58" i="18"/>
  <c r="AB58" i="18"/>
  <c r="AA59" i="18"/>
  <c r="AB59" i="18"/>
  <c r="AA60" i="18"/>
  <c r="AB60" i="18"/>
  <c r="AA61" i="18"/>
  <c r="AB61" i="18"/>
  <c r="AA62" i="18"/>
  <c r="AB62" i="18"/>
  <c r="AA63" i="18"/>
  <c r="AB63" i="18"/>
  <c r="AA64" i="18"/>
  <c r="AB64" i="18"/>
  <c r="AA65" i="18"/>
  <c r="AB65" i="18"/>
  <c r="AA66" i="18"/>
  <c r="AB66" i="18"/>
  <c r="AA67" i="18"/>
  <c r="AB67" i="18"/>
  <c r="AA68" i="18"/>
  <c r="AB68" i="18"/>
  <c r="AA69" i="18"/>
  <c r="AB69" i="18"/>
  <c r="AA70" i="18"/>
  <c r="AB70" i="18"/>
  <c r="AA71" i="18"/>
  <c r="AB71" i="18"/>
  <c r="AA72" i="18"/>
  <c r="AB72" i="18"/>
  <c r="AA73" i="18"/>
  <c r="AB73" i="18"/>
  <c r="AA74" i="18"/>
  <c r="AB74" i="18"/>
  <c r="AA75" i="18"/>
  <c r="AB75" i="18"/>
  <c r="AA76" i="18"/>
  <c r="AB76" i="18"/>
  <c r="AA77" i="18"/>
  <c r="AB77" i="18"/>
  <c r="AA78" i="18"/>
  <c r="AB78" i="18"/>
  <c r="AA79" i="18"/>
  <c r="AB79" i="18"/>
  <c r="AA80" i="18"/>
  <c r="AB80" i="18"/>
  <c r="AA81" i="18"/>
  <c r="AB81" i="18"/>
  <c r="AA82" i="18"/>
  <c r="AB82" i="18"/>
  <c r="AA83" i="18"/>
  <c r="AB83" i="18"/>
  <c r="AA84" i="18"/>
  <c r="AB84" i="18"/>
  <c r="AB97" i="18"/>
  <c r="D17" i="18"/>
  <c r="G13" i="18"/>
  <c r="G15" i="18"/>
  <c r="D15" i="18"/>
  <c r="D13" i="18"/>
  <c r="D11" i="18"/>
  <c r="N143" i="12" a="1"/>
  <c r="N143" i="12"/>
  <c r="N144" i="12"/>
  <c r="N145" i="12"/>
  <c r="N146" i="12"/>
  <c r="N147" i="12"/>
  <c r="N148" i="12"/>
  <c r="N149" i="12"/>
  <c r="AA34" i="12"/>
  <c r="AB34" i="12"/>
  <c r="AA35" i="12"/>
  <c r="AB35" i="12"/>
  <c r="AA36" i="12"/>
  <c r="AB36" i="12"/>
  <c r="AA37" i="12"/>
  <c r="AB37" i="12"/>
  <c r="AA38" i="12"/>
  <c r="AB38" i="12"/>
  <c r="AA39" i="12"/>
  <c r="AB39" i="12"/>
  <c r="AA40" i="12"/>
  <c r="AB40" i="12"/>
  <c r="AA41" i="12"/>
  <c r="AB41" i="12"/>
  <c r="AA42" i="12"/>
  <c r="AB42" i="12"/>
  <c r="AA43" i="12"/>
  <c r="AB43" i="12"/>
  <c r="AA44" i="12"/>
  <c r="AB44" i="12"/>
  <c r="AA45" i="12"/>
  <c r="AB45" i="12"/>
  <c r="AA46" i="12"/>
  <c r="AB46" i="12"/>
  <c r="AA47" i="12"/>
  <c r="AB47" i="12"/>
  <c r="AA48" i="12"/>
  <c r="AB48" i="12"/>
  <c r="AA49" i="12"/>
  <c r="AB49" i="12"/>
  <c r="AA50" i="12"/>
  <c r="AB50" i="12"/>
  <c r="AA51" i="12"/>
  <c r="AB51" i="12"/>
  <c r="AA52" i="12"/>
  <c r="AB52" i="12"/>
  <c r="AA53" i="12"/>
  <c r="AB53" i="12"/>
  <c r="AA54" i="12"/>
  <c r="AB54" i="12"/>
  <c r="AA55" i="12"/>
  <c r="AB55" i="12"/>
  <c r="AA56" i="12"/>
  <c r="AB56" i="12"/>
  <c r="AA57" i="12"/>
  <c r="AB57" i="12"/>
  <c r="AA58" i="12"/>
  <c r="AB58" i="12"/>
  <c r="AA59" i="12"/>
  <c r="AB59" i="12"/>
  <c r="AA60" i="12"/>
  <c r="AB60" i="12"/>
  <c r="AA61" i="12"/>
  <c r="AB61" i="12"/>
  <c r="AA62" i="12"/>
  <c r="AB62" i="12"/>
  <c r="AA63" i="12"/>
  <c r="AB63" i="12"/>
  <c r="AA64" i="12"/>
  <c r="AB64" i="12"/>
  <c r="AA65" i="12"/>
  <c r="AB65" i="12"/>
  <c r="AA66" i="12"/>
  <c r="AB66" i="12"/>
  <c r="AA67" i="12"/>
  <c r="AB67" i="12"/>
  <c r="AA68" i="12"/>
  <c r="AB68" i="12"/>
  <c r="AA69" i="12"/>
  <c r="AB69" i="12"/>
  <c r="AA70" i="12"/>
  <c r="AB70" i="12"/>
  <c r="AA71" i="12"/>
  <c r="AB71" i="12"/>
  <c r="AA72" i="12"/>
  <c r="AB72" i="12"/>
  <c r="AA73" i="12"/>
  <c r="AB73" i="12"/>
  <c r="AA74" i="12"/>
  <c r="AB74" i="12"/>
  <c r="AA75" i="12"/>
  <c r="AB75" i="12"/>
  <c r="AA76" i="12"/>
  <c r="AB76" i="12"/>
  <c r="AA77" i="12"/>
  <c r="AB77" i="12"/>
  <c r="AA78" i="12"/>
  <c r="AB78" i="12"/>
  <c r="AA79" i="12"/>
  <c r="AB79" i="12"/>
  <c r="AA80" i="12"/>
  <c r="AB80" i="12"/>
  <c r="AA81" i="12"/>
  <c r="AB81" i="12"/>
  <c r="AA82" i="12"/>
  <c r="AB82" i="12"/>
  <c r="AA83" i="12"/>
  <c r="AB83" i="12"/>
  <c r="AA84" i="12"/>
  <c r="AB84" i="12"/>
  <c r="G13" i="12"/>
  <c r="G15" i="12"/>
  <c r="AB97" i="12"/>
  <c r="D23" i="12"/>
  <c r="D21" i="12"/>
  <c r="D19" i="12"/>
  <c r="D17" i="12"/>
  <c r="D15" i="12"/>
  <c r="D13" i="12"/>
  <c r="D11" i="12"/>
  <c r="C54" i="20"/>
</calcChain>
</file>

<file path=xl/sharedStrings.xml><?xml version="1.0" encoding="utf-8"?>
<sst xmlns="http://schemas.openxmlformats.org/spreadsheetml/2006/main" count="404" uniqueCount="168">
  <si>
    <t>a</t>
  </si>
  <si>
    <t xml:space="preserve"> inch</t>
  </si>
  <si>
    <t>b</t>
  </si>
  <si>
    <t>h</t>
  </si>
  <si>
    <t>n</t>
  </si>
  <si>
    <t>E2</t>
  </si>
  <si>
    <t>C</t>
  </si>
  <si>
    <t>S</t>
  </si>
  <si>
    <t>A</t>
  </si>
  <si>
    <t>b / a</t>
  </si>
  <si>
    <t>Area</t>
  </si>
  <si>
    <t>Ratio</t>
  </si>
  <si>
    <t>GRAN</t>
  </si>
  <si>
    <t>B</t>
  </si>
  <si>
    <t>D</t>
  </si>
  <si>
    <t>F</t>
  </si>
  <si>
    <t>G</t>
  </si>
  <si>
    <t>Polynomial Regression</t>
  </si>
  <si>
    <t>Corporation</t>
  </si>
  <si>
    <t>Numerical Methods</t>
  </si>
  <si>
    <t>Made in America</t>
  </si>
  <si>
    <t xml:space="preserve"> points</t>
  </si>
  <si>
    <r>
      <t>a</t>
    </r>
    <r>
      <rPr>
        <b/>
        <vertAlign val="subscript"/>
        <sz val="10"/>
        <rFont val="Arial"/>
        <family val="2"/>
      </rPr>
      <t>0</t>
    </r>
  </si>
  <si>
    <r>
      <t>S</t>
    </r>
    <r>
      <rPr>
        <b/>
        <vertAlign val="subscript"/>
        <sz val="10"/>
        <rFont val="Arial"/>
        <family val="2"/>
      </rPr>
      <t>t</t>
    </r>
  </si>
  <si>
    <r>
      <t>a</t>
    </r>
    <r>
      <rPr>
        <b/>
        <vertAlign val="subscript"/>
        <sz val="10"/>
        <rFont val="Arial"/>
        <family val="2"/>
      </rPr>
      <t>1</t>
    </r>
  </si>
  <si>
    <r>
      <t>S</t>
    </r>
    <r>
      <rPr>
        <b/>
        <vertAlign val="subscript"/>
        <sz val="10"/>
        <rFont val="Arial"/>
        <family val="2"/>
      </rPr>
      <t>r</t>
    </r>
  </si>
  <si>
    <r>
      <t>a</t>
    </r>
    <r>
      <rPr>
        <b/>
        <vertAlign val="subscript"/>
        <sz val="10"/>
        <rFont val="Arial"/>
        <family val="2"/>
      </rPr>
      <t>2</t>
    </r>
    <r>
      <rPr>
        <sz val="10"/>
        <rFont val="Arial"/>
        <family val="2"/>
      </rPr>
      <t/>
    </r>
  </si>
  <si>
    <r>
      <t xml:space="preserve">R </t>
    </r>
    <r>
      <rPr>
        <b/>
        <vertAlign val="superscript"/>
        <sz val="10"/>
        <rFont val="Arial"/>
        <family val="2"/>
      </rPr>
      <t>2</t>
    </r>
  </si>
  <si>
    <r>
      <t>a</t>
    </r>
    <r>
      <rPr>
        <b/>
        <vertAlign val="subscript"/>
        <sz val="10"/>
        <rFont val="Arial"/>
        <family val="2"/>
      </rPr>
      <t>3</t>
    </r>
    <r>
      <rPr>
        <sz val="10"/>
        <rFont val="Arial"/>
        <family val="2"/>
      </rPr>
      <t/>
    </r>
  </si>
  <si>
    <r>
      <t>a</t>
    </r>
    <r>
      <rPr>
        <b/>
        <vertAlign val="subscript"/>
        <sz val="10"/>
        <rFont val="Arial"/>
        <family val="2"/>
      </rPr>
      <t>4</t>
    </r>
    <r>
      <rPr>
        <sz val="10"/>
        <rFont val="Arial"/>
        <family val="2"/>
      </rPr>
      <t/>
    </r>
  </si>
  <si>
    <r>
      <t>a</t>
    </r>
    <r>
      <rPr>
        <b/>
        <vertAlign val="subscript"/>
        <sz val="10"/>
        <rFont val="Arial"/>
        <family val="2"/>
      </rPr>
      <t>5</t>
    </r>
    <r>
      <rPr>
        <sz val="10"/>
        <rFont val="Arial"/>
        <family val="2"/>
      </rPr>
      <t/>
    </r>
  </si>
  <si>
    <r>
      <t>a</t>
    </r>
    <r>
      <rPr>
        <b/>
        <vertAlign val="subscript"/>
        <sz val="10"/>
        <rFont val="Arial"/>
        <family val="2"/>
      </rPr>
      <t>6</t>
    </r>
    <r>
      <rPr>
        <sz val="10"/>
        <rFont val="Arial"/>
        <family val="2"/>
      </rPr>
      <t/>
    </r>
  </si>
  <si>
    <r>
      <t>n</t>
    </r>
    <r>
      <rPr>
        <b/>
        <vertAlign val="subscript"/>
        <sz val="10"/>
        <rFont val="Arial"/>
        <family val="2"/>
      </rPr>
      <t>i</t>
    </r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</si>
  <si>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</si>
  <si>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</si>
  <si>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</si>
  <si>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  <r>
      <rPr>
        <sz val="10"/>
        <rFont val="Arial"/>
        <family val="2"/>
      </rPr>
      <t/>
    </r>
  </si>
  <si>
    <r>
      <t>x</t>
    </r>
    <r>
      <rPr>
        <b/>
        <vertAlign val="superscript"/>
        <sz val="10"/>
        <rFont val="Arial"/>
        <family val="2"/>
      </rPr>
      <t>4</t>
    </r>
    <r>
      <rPr>
        <sz val="10"/>
        <rFont val="Arial"/>
        <family val="2"/>
      </rPr>
      <t/>
    </r>
  </si>
  <si>
    <r>
      <t>x</t>
    </r>
    <r>
      <rPr>
        <b/>
        <vertAlign val="superscript"/>
        <sz val="10"/>
        <rFont val="Arial"/>
        <family val="2"/>
      </rPr>
      <t>5</t>
    </r>
    <r>
      <rPr>
        <sz val="10"/>
        <rFont val="Arial"/>
        <family val="2"/>
      </rPr>
      <t/>
    </r>
  </si>
  <si>
    <r>
      <t>x</t>
    </r>
    <r>
      <rPr>
        <b/>
        <vertAlign val="superscript"/>
        <sz val="10"/>
        <rFont val="Arial"/>
        <family val="2"/>
      </rPr>
      <t>6</t>
    </r>
    <r>
      <rPr>
        <sz val="10"/>
        <rFont val="Arial"/>
        <family val="2"/>
      </rPr>
      <t/>
    </r>
  </si>
  <si>
    <r>
      <t>x</t>
    </r>
    <r>
      <rPr>
        <b/>
        <vertAlign val="superscript"/>
        <sz val="10"/>
        <rFont val="Arial"/>
        <family val="2"/>
      </rPr>
      <t>7</t>
    </r>
    <r>
      <rPr>
        <sz val="10"/>
        <rFont val="Arial"/>
        <family val="2"/>
      </rPr>
      <t/>
    </r>
  </si>
  <si>
    <r>
      <t>x</t>
    </r>
    <r>
      <rPr>
        <b/>
        <vertAlign val="superscript"/>
        <sz val="10"/>
        <rFont val="Arial"/>
        <family val="2"/>
      </rPr>
      <t>8</t>
    </r>
    <r>
      <rPr>
        <sz val="10"/>
        <rFont val="Arial"/>
        <family val="2"/>
      </rPr>
      <t/>
    </r>
  </si>
  <si>
    <r>
      <t>x</t>
    </r>
    <r>
      <rPr>
        <b/>
        <vertAlign val="superscript"/>
        <sz val="10"/>
        <rFont val="Arial"/>
        <family val="2"/>
      </rPr>
      <t>9</t>
    </r>
    <r>
      <rPr>
        <sz val="10"/>
        <rFont val="Arial"/>
        <family val="2"/>
      </rPr>
      <t/>
    </r>
  </si>
  <si>
    <r>
      <t>x</t>
    </r>
    <r>
      <rPr>
        <b/>
        <vertAlign val="superscript"/>
        <sz val="10"/>
        <rFont val="Arial"/>
        <family val="2"/>
      </rPr>
      <t>10</t>
    </r>
    <r>
      <rPr>
        <sz val="10"/>
        <rFont val="Arial"/>
        <family val="2"/>
      </rPr>
      <t/>
    </r>
  </si>
  <si>
    <r>
      <t>x</t>
    </r>
    <r>
      <rPr>
        <b/>
        <vertAlign val="superscript"/>
        <sz val="10"/>
        <rFont val="Arial"/>
        <family val="2"/>
      </rPr>
      <t>11</t>
    </r>
    <r>
      <rPr>
        <sz val="10"/>
        <rFont val="Arial"/>
        <family val="2"/>
      </rPr>
      <t/>
    </r>
  </si>
  <si>
    <r>
      <t>x</t>
    </r>
    <r>
      <rPr>
        <b/>
        <vertAlign val="superscript"/>
        <sz val="10"/>
        <rFont val="Arial"/>
        <family val="2"/>
      </rPr>
      <t>12</t>
    </r>
    <r>
      <rPr>
        <sz val="10"/>
        <rFont val="Arial"/>
        <family val="2"/>
      </rPr>
      <t/>
    </r>
  </si>
  <si>
    <r>
      <t>x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y</t>
    </r>
  </si>
  <si>
    <r>
      <t>x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y</t>
    </r>
  </si>
  <si>
    <r>
      <t>x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y</t>
    </r>
  </si>
  <si>
    <r>
      <t>x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y</t>
    </r>
  </si>
  <si>
    <r>
      <t>x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y</t>
    </r>
  </si>
  <si>
    <r>
      <t>(y - y</t>
    </r>
    <r>
      <rPr>
        <b/>
        <vertAlign val="subscript"/>
        <sz val="10"/>
        <rFont val="Arial"/>
        <family val="2"/>
      </rPr>
      <t>bar</t>
    </r>
    <r>
      <rPr>
        <b/>
        <sz val="10"/>
        <rFont val="Arial"/>
        <family val="2"/>
      </rPr>
      <t>)</t>
    </r>
    <r>
      <rPr>
        <b/>
        <vertAlign val="superscript"/>
        <sz val="10"/>
        <rFont val="Arial"/>
        <family val="2"/>
      </rPr>
      <t>2</t>
    </r>
  </si>
  <si>
    <t>y regr.</t>
  </si>
  <si>
    <r>
      <t>error</t>
    </r>
    <r>
      <rPr>
        <vertAlign val="superscript"/>
        <sz val="10"/>
        <rFont val="Arial"/>
        <family val="2"/>
      </rPr>
      <t>2</t>
    </r>
  </si>
  <si>
    <t xml:space="preserve">S  </t>
  </si>
  <si>
    <t>Equation</t>
  </si>
  <si>
    <t xml:space="preserve"> =</t>
  </si>
  <si>
    <t>7 Equations, 7 Unkowns</t>
  </si>
  <si>
    <t>Inverse</t>
  </si>
  <si>
    <t xml:space="preserve"> x</t>
  </si>
  <si>
    <t/>
  </si>
  <si>
    <t>Perimeter</t>
  </si>
  <si>
    <t>©  2006  All Rights Reserved</t>
  </si>
  <si>
    <r>
      <t>x</t>
    </r>
    <r>
      <rPr>
        <b/>
        <sz val="10"/>
        <rFont val="Arial"/>
        <family val="2"/>
      </rPr>
      <t>y</t>
    </r>
  </si>
  <si>
    <r>
      <t>S</t>
    </r>
    <r>
      <rPr>
        <b/>
        <sz val="10"/>
        <rFont val="Arial"/>
        <family val="2"/>
      </rPr>
      <t>x</t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</si>
  <si>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2</t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</si>
  <si>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3</t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</si>
  <si>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4</t>
    </r>
    <r>
      <rPr>
        <sz val="10"/>
        <rFont val="Arial"/>
        <family val="2"/>
      </rPr>
      <t/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</si>
  <si>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5</t>
    </r>
    <r>
      <rPr>
        <sz val="10"/>
        <rFont val="Arial"/>
        <family val="2"/>
      </rPr>
      <t/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</si>
  <si>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6</t>
    </r>
    <r>
      <rPr>
        <sz val="10"/>
        <rFont val="Arial"/>
        <family val="2"/>
      </rPr>
      <t/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</si>
  <si>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7</t>
    </r>
    <r>
      <rPr>
        <sz val="10"/>
        <rFont val="Arial"/>
        <family val="2"/>
      </rPr>
      <t/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</si>
  <si>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8</t>
    </r>
    <r>
      <rPr>
        <sz val="10"/>
        <rFont val="Arial"/>
        <family val="2"/>
      </rPr>
      <t/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</si>
  <si>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9</t>
    </r>
    <r>
      <rPr>
        <sz val="10"/>
        <rFont val="Arial"/>
        <family val="2"/>
      </rPr>
      <t/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</si>
  <si>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10</t>
    </r>
    <r>
      <rPr>
        <sz val="10"/>
        <rFont val="Arial"/>
        <family val="2"/>
      </rPr>
      <t/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</si>
  <si>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11</t>
    </r>
    <r>
      <rPr>
        <sz val="10"/>
        <rFont val="Arial"/>
        <family val="2"/>
      </rPr>
      <t/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</si>
  <si>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12</t>
    </r>
    <r>
      <rPr>
        <sz val="10"/>
        <rFont val="Arial"/>
        <family val="2"/>
      </rPr>
      <t/>
    </r>
  </si>
  <si>
    <r>
      <t>S</t>
    </r>
    <r>
      <rPr>
        <b/>
        <sz val="10"/>
        <rFont val="Arial"/>
        <family val="2"/>
      </rPr>
      <t>y</t>
    </r>
  </si>
  <si>
    <r>
      <t>S</t>
    </r>
    <r>
      <rPr>
        <b/>
        <sz val="10"/>
        <rFont val="Arial"/>
        <family val="2"/>
      </rPr>
      <t>x</t>
    </r>
    <r>
      <rPr>
        <b/>
        <sz val="10"/>
        <rFont val="Arial"/>
        <family val="2"/>
      </rPr>
      <t>y</t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</si>
  <si>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y</t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</si>
  <si>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y</t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</si>
  <si>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y</t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</si>
  <si>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y</t>
    </r>
  </si>
  <si>
    <r>
      <t>S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y</t>
    </r>
  </si>
  <si>
    <t>4 Equations, 4 Unkowns</t>
  </si>
  <si>
    <t>Denominator</t>
  </si>
  <si>
    <t>Numerator</t>
  </si>
  <si>
    <t>X Factor</t>
  </si>
  <si>
    <t>P</t>
  </si>
  <si>
    <t>Y Factor</t>
  </si>
  <si>
    <t>Third Order Polynomial</t>
  </si>
  <si>
    <t>Sixth Order Polynomial</t>
  </si>
  <si>
    <t>Sixth Order Y Factor</t>
  </si>
  <si>
    <t>Third Order Y Factor</t>
  </si>
  <si>
    <t>J</t>
  </si>
  <si>
    <t>H</t>
  </si>
  <si>
    <t>I</t>
  </si>
  <si>
    <t>K</t>
  </si>
  <si>
    <t>M</t>
  </si>
  <si>
    <t>Gauss - Kummer Series</t>
  </si>
  <si>
    <t>Perimeter of an Ellipse</t>
  </si>
  <si>
    <t>OUTPUT</t>
  </si>
  <si>
    <t>INPUT</t>
  </si>
  <si>
    <t>DATA</t>
  </si>
  <si>
    <t>Coefficient</t>
  </si>
  <si>
    <t>GRAN Method</t>
  </si>
  <si>
    <t>© 2012 All Rights Reserved</t>
  </si>
  <si>
    <t>Legendre  Polynomial</t>
  </si>
  <si>
    <r>
      <t>a</t>
    </r>
    <r>
      <rPr>
        <b/>
        <vertAlign val="subscript"/>
        <sz val="10"/>
        <color theme="0"/>
        <rFont val="Arial"/>
        <family val="2"/>
      </rPr>
      <t>0</t>
    </r>
  </si>
  <si>
    <r>
      <t>a</t>
    </r>
    <r>
      <rPr>
        <b/>
        <vertAlign val="subscript"/>
        <sz val="10"/>
        <color theme="0"/>
        <rFont val="Arial"/>
        <family val="2"/>
      </rPr>
      <t>1</t>
    </r>
  </si>
  <si>
    <r>
      <t>a</t>
    </r>
    <r>
      <rPr>
        <b/>
        <vertAlign val="subscript"/>
        <sz val="10"/>
        <color theme="0"/>
        <rFont val="Arial"/>
        <family val="2"/>
      </rPr>
      <t>2</t>
    </r>
    <r>
      <rPr>
        <sz val="10"/>
        <rFont val="Arial"/>
        <family val="2"/>
      </rPr>
      <t/>
    </r>
  </si>
  <si>
    <r>
      <t>a</t>
    </r>
    <r>
      <rPr>
        <b/>
        <vertAlign val="subscript"/>
        <sz val="10"/>
        <color theme="0"/>
        <rFont val="Arial"/>
        <family val="2"/>
      </rPr>
      <t>3</t>
    </r>
    <r>
      <rPr>
        <sz val="10"/>
        <rFont val="Arial"/>
        <family val="2"/>
      </rPr>
      <t/>
    </r>
  </si>
  <si>
    <r>
      <t>a</t>
    </r>
    <r>
      <rPr>
        <b/>
        <vertAlign val="subscript"/>
        <sz val="10"/>
        <color theme="0"/>
        <rFont val="Arial"/>
        <family val="2"/>
      </rPr>
      <t>4</t>
    </r>
    <r>
      <rPr>
        <sz val="10"/>
        <rFont val="Arial"/>
        <family val="2"/>
      </rPr>
      <t/>
    </r>
  </si>
  <si>
    <r>
      <t>a</t>
    </r>
    <r>
      <rPr>
        <b/>
        <vertAlign val="subscript"/>
        <sz val="10"/>
        <color theme="0"/>
        <rFont val="Arial"/>
        <family val="2"/>
      </rPr>
      <t>5</t>
    </r>
    <r>
      <rPr>
        <sz val="10"/>
        <rFont val="Arial"/>
        <family val="2"/>
      </rPr>
      <t/>
    </r>
  </si>
  <si>
    <r>
      <t>a</t>
    </r>
    <r>
      <rPr>
        <b/>
        <vertAlign val="subscript"/>
        <sz val="10"/>
        <color theme="0"/>
        <rFont val="Arial"/>
        <family val="2"/>
      </rPr>
      <t>6</t>
    </r>
    <r>
      <rPr>
        <sz val="10"/>
        <rFont val="Arial"/>
        <family val="2"/>
      </rPr>
      <t/>
    </r>
  </si>
  <si>
    <r>
      <rPr>
        <b/>
        <sz val="11"/>
        <color theme="0"/>
        <rFont val="Calibri"/>
        <family val="2"/>
        <scheme val="minor"/>
      </rPr>
      <t>P</t>
    </r>
    <r>
      <rPr>
        <vertAlign val="subscript"/>
        <sz val="11"/>
        <color theme="0"/>
        <rFont val="Calibri"/>
        <scheme val="minor"/>
      </rPr>
      <t xml:space="preserve"> 2</t>
    </r>
  </si>
  <si>
    <r>
      <rPr>
        <b/>
        <sz val="11"/>
        <color theme="0"/>
        <rFont val="Calibri"/>
        <family val="2"/>
        <scheme val="minor"/>
      </rPr>
      <t>P</t>
    </r>
    <r>
      <rPr>
        <vertAlign val="subscript"/>
        <sz val="11"/>
        <color theme="0"/>
        <rFont val="Calibri"/>
        <scheme val="minor"/>
      </rPr>
      <t xml:space="preserve"> 3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</si>
  <si>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color theme="0"/>
        <rFont val="Calibri"/>
        <family val="2"/>
        <scheme val="minor"/>
      </rPr>
      <t>P</t>
    </r>
    <r>
      <rPr>
        <vertAlign val="subscript"/>
        <sz val="11"/>
        <color theme="0"/>
        <rFont val="Calibri"/>
        <scheme val="minor"/>
      </rPr>
      <t xml:space="preserve"> 4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</si>
  <si>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color theme="0"/>
        <rFont val="Calibri"/>
        <family val="2"/>
        <scheme val="minor"/>
      </rPr>
      <t>P</t>
    </r>
    <r>
      <rPr>
        <vertAlign val="subscript"/>
        <sz val="11"/>
        <color theme="0"/>
        <rFont val="Calibri"/>
        <scheme val="minor"/>
      </rPr>
      <t xml:space="preserve"> 5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</si>
  <si>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color theme="0"/>
        <rFont val="Calibri"/>
        <family val="2"/>
        <scheme val="minor"/>
      </rPr>
      <t>P</t>
    </r>
    <r>
      <rPr>
        <vertAlign val="subscript"/>
        <sz val="11"/>
        <color theme="0"/>
        <rFont val="Calibri"/>
        <scheme val="minor"/>
      </rPr>
      <t xml:space="preserve"> 6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</si>
  <si>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color theme="0"/>
        <rFont val="Calibri"/>
        <family val="2"/>
        <scheme val="minor"/>
      </rPr>
      <t>P</t>
    </r>
    <r>
      <rPr>
        <vertAlign val="subscript"/>
        <sz val="11"/>
        <color theme="0"/>
        <rFont val="Calibri"/>
        <scheme val="minor"/>
      </rPr>
      <t xml:space="preserve"> 7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</si>
  <si>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color theme="0"/>
        <rFont val="Calibri"/>
        <family val="2"/>
        <scheme val="minor"/>
      </rPr>
      <t>P</t>
    </r>
    <r>
      <rPr>
        <vertAlign val="subscript"/>
        <sz val="11"/>
        <color theme="0"/>
        <rFont val="Calibri"/>
        <scheme val="minor"/>
      </rPr>
      <t xml:space="preserve"> 8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</si>
  <si>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color theme="0"/>
        <rFont val="Calibri"/>
        <family val="2"/>
        <scheme val="minor"/>
      </rPr>
      <t>P</t>
    </r>
    <r>
      <rPr>
        <vertAlign val="subscript"/>
        <sz val="11"/>
        <color theme="0"/>
        <rFont val="Calibri"/>
        <scheme val="minor"/>
      </rPr>
      <t xml:space="preserve"> 9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</si>
  <si>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color theme="0"/>
        <rFont val="Calibri"/>
        <family val="2"/>
        <scheme val="minor"/>
      </rPr>
      <t>P</t>
    </r>
    <r>
      <rPr>
        <vertAlign val="subscript"/>
        <sz val="11"/>
        <color theme="0"/>
        <rFont val="Calibri"/>
        <scheme val="minor"/>
      </rPr>
      <t xml:space="preserve"> 10</t>
    </r>
    <r>
      <rPr>
        <sz val="11"/>
        <color theme="1"/>
        <rFont val="Calibri"/>
        <family val="2"/>
        <scheme val="minor"/>
      </rPr>
      <t/>
    </r>
  </si>
  <si>
    <r>
      <t xml:space="preserve"> in </t>
    </r>
    <r>
      <rPr>
        <vertAlign val="superscript"/>
        <sz val="10"/>
        <rFont val="Arial"/>
        <family val="2"/>
      </rPr>
      <t>2</t>
    </r>
  </si>
  <si>
    <r>
      <t xml:space="preserve">The </t>
    </r>
    <r>
      <rPr>
        <b/>
        <sz val="12"/>
        <rFont val="Arial"/>
      </rPr>
      <t>GRAN</t>
    </r>
    <r>
      <rPr>
        <sz val="12"/>
        <rFont val="Arial"/>
      </rPr>
      <t xml:space="preserve"> Method and the Gauss - Kummer Series</t>
    </r>
  </si>
  <si>
    <t>http://mathworld.wolfram.com/Gauss-KummerSeries.html</t>
  </si>
  <si>
    <t>n!</t>
  </si>
  <si>
    <t>(2n-2)!</t>
  </si>
  <si>
    <t>(n-1)!</t>
  </si>
  <si>
    <t>(n-1)</t>
  </si>
  <si>
    <t>2 ^ (2n-1)</t>
  </si>
  <si>
    <t>(2n-2)</t>
  </si>
  <si>
    <t xml:space="preserve"> [ n! (n-1)! 2 ^(2n-1) ] ^2</t>
  </si>
  <si>
    <t>Check</t>
  </si>
  <si>
    <t>h ^ n</t>
  </si>
  <si>
    <t>(2n-2)!  h ^n</t>
  </si>
  <si>
    <t>Semi-Major Axis</t>
  </si>
  <si>
    <t>Semi-Minor Axis</t>
  </si>
  <si>
    <t>Ratios</t>
  </si>
  <si>
    <t>Constants</t>
  </si>
  <si>
    <t>( n - 1 )</t>
  </si>
  <si>
    <t>( 2 n - 2 )</t>
  </si>
  <si>
    <t>Paul Bourke</t>
  </si>
  <si>
    <t>Wolfram Mathworld - Equation of an Ellipse</t>
  </si>
  <si>
    <t>http://paulbourke.net/geometry/ellipsecirc/</t>
  </si>
  <si>
    <t>http://mathworld.wolfram.com/Ellipse.html</t>
  </si>
  <si>
    <t>Gérard P. Michon, PhD</t>
  </si>
  <si>
    <t>Wolfram Mathworld - Elliptic Integral of the Second Kind</t>
  </si>
  <si>
    <t>http://www.numericana.com/answer/ellipse.htm</t>
  </si>
  <si>
    <t>http://mathworld.wolfram.com/EllipticIntegraloftheSecondKind.html</t>
  </si>
  <si>
    <t>Aircraft Stress Analysis</t>
  </si>
  <si>
    <t>Wolfram Mathworld - Gauss-Kummer Series</t>
  </si>
  <si>
    <t>http://www.aircraftstressanalysis.com/curves.aspx</t>
  </si>
  <si>
    <t>Math is Fun</t>
  </si>
  <si>
    <t>Worlfram Mathworld - Gamma Functions</t>
  </si>
  <si>
    <t>http://www.mathsisfun.com/geometry/ellipse-perimeter.html</t>
  </si>
  <si>
    <t>http://mathworld.wolfram.com/GammaFunction.html</t>
  </si>
  <si>
    <t>Ask Dr. Math</t>
  </si>
  <si>
    <t>Wolfram Mathworld - Factorial</t>
  </si>
  <si>
    <t>http://mathforum.org/dr.math/</t>
  </si>
  <si>
    <t>http://mathworld.wolfram.com/Factorial.html</t>
  </si>
  <si>
    <t>Wikipedia</t>
  </si>
  <si>
    <t>Mathworld - Binomial Coefficient</t>
  </si>
  <si>
    <t>http://en.wikipedia.org/wiki/Ellipse</t>
  </si>
  <si>
    <t>http://mathworld.wolfram.com/BinomialCoefficient.html</t>
  </si>
  <si>
    <r>
      <t>X</t>
    </r>
    <r>
      <rPr>
        <b/>
        <vertAlign val="subscript"/>
        <sz val="11"/>
        <rFont val="Arial"/>
        <family val="2"/>
      </rPr>
      <t xml:space="preserve"> factor</t>
    </r>
  </si>
  <si>
    <r>
      <t>Y</t>
    </r>
    <r>
      <rPr>
        <b/>
        <vertAlign val="subscript"/>
        <sz val="11"/>
        <rFont val="Arial"/>
        <family val="2"/>
      </rPr>
      <t xml:space="preserve"> factor</t>
    </r>
  </si>
  <si>
    <r>
      <rPr>
        <sz val="10"/>
        <rFont val="Arial"/>
        <family val="2"/>
      </rPr>
      <t xml:space="preserve">For n  =  85    </t>
    </r>
    <r>
      <rPr>
        <sz val="11"/>
        <rFont val="Arial"/>
        <family val="2"/>
      </rPr>
      <t xml:space="preserve"> </t>
    </r>
    <r>
      <rPr>
        <b/>
        <sz val="11"/>
        <rFont val="Symbol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</si>
</sst>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0.00000"/>
    <numFmt numFmtId="165" formatCode="0.0000"/>
    <numFmt numFmtId="166" formatCode="0.000"/>
    <numFmt numFmtId="167" formatCode="0.0"/>
    <numFmt numFmtId="168" formatCode="0.000000"/>
    <numFmt numFmtId="169" formatCode="0.00000000000000"/>
    <numFmt numFmtId="170" formatCode="0.00000000"/>
    <numFmt numFmtId="171" formatCode="#,##0.000"/>
    <numFmt numFmtId="172" formatCode="#,##0.0"/>
    <numFmt numFmtId="173" formatCode="#,##0.0000"/>
    <numFmt numFmtId="174" formatCode="0.000000000"/>
    <numFmt numFmtId="175" formatCode="0.0000000000"/>
    <numFmt numFmtId="176" formatCode="0.00000000000"/>
    <numFmt numFmtId="177" formatCode="0.0000000"/>
    <numFmt numFmtId="178" formatCode="0.000E+00"/>
    <numFmt numFmtId="179" formatCode="#,##0.00000000000"/>
    <numFmt numFmtId="180" formatCode="0.0000000000000"/>
    <numFmt numFmtId="181" formatCode="0.0000&quot;  inch&quot;"/>
    <numFmt numFmtId="182" formatCode="0.000000000000"/>
    <numFmt numFmtId="183" formatCode="0.000000000000000"/>
    <numFmt numFmtId="184" formatCode="0.00000000000000000"/>
    <numFmt numFmtId="185" formatCode="&quot;   &quot;0"/>
    <numFmt numFmtId="186" formatCode="&quot;P  =  &quot;0.0000&quot;  inch&quot;"/>
  </numFmts>
  <fonts count="6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6"/>
      <color indexed="63"/>
      <name val="Arial"/>
      <family val="2"/>
    </font>
    <font>
      <sz val="10"/>
      <name val="Helv"/>
      <family val="2"/>
    </font>
    <font>
      <sz val="12"/>
      <name val="Arial Black"/>
      <family val="2"/>
    </font>
    <font>
      <i/>
      <sz val="12"/>
      <color indexed="23"/>
      <name val="Arial Black"/>
      <family val="2"/>
    </font>
    <font>
      <b/>
      <i/>
      <sz val="22"/>
      <name val="Arial Black"/>
      <family val="2"/>
    </font>
    <font>
      <b/>
      <i/>
      <sz val="24"/>
      <name val="Arial Black"/>
      <family val="2"/>
    </font>
    <font>
      <sz val="10"/>
      <name val="Arial"/>
      <family val="2"/>
    </font>
    <font>
      <sz val="10"/>
      <name val="Helvetica"/>
      <family val="2"/>
    </font>
    <font>
      <sz val="8"/>
      <name val="Helvetica"/>
      <family val="2"/>
    </font>
    <font>
      <b/>
      <sz val="11"/>
      <color theme="1"/>
      <name val="Calibri"/>
      <family val="2"/>
      <scheme val="minor"/>
    </font>
    <font>
      <b/>
      <sz val="18"/>
      <name val="Helvetica"/>
      <family val="2"/>
    </font>
    <font>
      <b/>
      <sz val="10"/>
      <name val="Helvetica"/>
      <family val="2"/>
    </font>
    <font>
      <i/>
      <sz val="10"/>
      <name val="Helvetica"/>
      <family val="2"/>
    </font>
    <font>
      <b/>
      <i/>
      <sz val="24"/>
      <color indexed="22"/>
      <name val="Arial Black"/>
      <family val="2"/>
    </font>
    <font>
      <sz val="6"/>
      <color indexed="63"/>
      <name val="Helv"/>
      <family val="2"/>
    </font>
    <font>
      <b/>
      <sz val="24"/>
      <color indexed="22"/>
      <name val="Arial Black"/>
      <family val="2"/>
    </font>
    <font>
      <sz val="6"/>
      <color indexed="23"/>
      <name val="Helv"/>
      <family val="2"/>
    </font>
    <font>
      <b/>
      <sz val="10"/>
      <name val="Symbol"/>
      <family val="1"/>
      <charset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4"/>
      <name val="Arial"/>
    </font>
    <font>
      <sz val="8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Calibri"/>
      <scheme val="minor"/>
    </font>
    <font>
      <b/>
      <i/>
      <sz val="12"/>
      <color theme="0" tint="-0.34998626667073579"/>
      <name val="Arial Black"/>
    </font>
    <font>
      <sz val="6"/>
      <color theme="1"/>
      <name val="Calibri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  <font>
      <vertAlign val="subscript"/>
      <sz val="11"/>
      <color theme="0"/>
      <name val="Calibri"/>
      <scheme val="minor"/>
    </font>
    <font>
      <b/>
      <i/>
      <sz val="26"/>
      <name val="Arial Black"/>
      <family val="2"/>
    </font>
    <font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</font>
    <font>
      <sz val="11"/>
      <name val="Calibri"/>
      <family val="2"/>
      <scheme val="minor"/>
    </font>
    <font>
      <b/>
      <sz val="11"/>
      <name val="Symbol"/>
    </font>
    <font>
      <b/>
      <sz val="12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0"/>
      <name val="Arial"/>
      <family val="2"/>
    </font>
    <font>
      <b/>
      <sz val="11"/>
      <color theme="0"/>
      <name val="Symbol"/>
    </font>
    <font>
      <u/>
      <sz val="11"/>
      <color theme="0"/>
      <name val="Calibri"/>
      <family val="2"/>
      <scheme val="minor"/>
    </font>
    <font>
      <sz val="12"/>
      <color theme="1"/>
      <name val="Arial"/>
    </font>
    <font>
      <sz val="10"/>
      <color theme="1"/>
      <name val="Arial"/>
    </font>
    <font>
      <sz val="11"/>
      <color theme="1"/>
      <name val="Calibri"/>
      <family val="2"/>
      <scheme val="minor"/>
    </font>
    <font>
      <u/>
      <sz val="11"/>
      <color theme="10"/>
      <name val="Arial"/>
    </font>
    <font>
      <sz val="11"/>
      <name val="Arial"/>
      <family val="2"/>
    </font>
    <font>
      <b/>
      <vertAlign val="subscript"/>
      <sz val="11"/>
      <name val="Arial"/>
      <family val="2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22FF37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/>
      <bottom style="thin">
        <color indexed="9"/>
      </bottom>
      <diagonal/>
    </border>
    <border>
      <left/>
      <right style="thin">
        <color auto="1"/>
      </right>
      <top/>
      <bottom style="thin">
        <color indexed="9"/>
      </bottom>
      <diagonal/>
    </border>
    <border>
      <left style="medium">
        <color indexed="9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9"/>
      </left>
      <right style="medium">
        <color auto="1"/>
      </right>
      <top/>
      <bottom/>
      <diagonal/>
    </border>
    <border>
      <left style="thin">
        <color auto="1"/>
      </left>
      <right style="thin">
        <color indexed="9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9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indexed="9"/>
      </top>
      <bottom/>
      <diagonal/>
    </border>
    <border>
      <left style="medium">
        <color indexed="9"/>
      </left>
      <right style="medium">
        <color auto="1"/>
      </right>
      <top style="medium">
        <color indexed="9"/>
      </top>
      <bottom/>
      <diagonal/>
    </border>
    <border>
      <left style="thin">
        <color auto="1"/>
      </left>
      <right style="thin">
        <color indexed="9"/>
      </right>
      <top style="medium">
        <color auto="1"/>
      </top>
      <bottom style="thin">
        <color indexed="9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9"/>
      </left>
      <right/>
      <top/>
      <bottom style="medium">
        <color auto="1"/>
      </bottom>
      <diagonal/>
    </border>
    <border>
      <left style="medium">
        <color indexed="9"/>
      </left>
      <right style="medium">
        <color auto="1"/>
      </right>
      <top style="medium">
        <color indexed="9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9"/>
      </top>
      <bottom/>
      <diagonal/>
    </border>
    <border>
      <left style="thin">
        <color auto="1"/>
      </left>
      <right style="thin">
        <color auto="1"/>
      </right>
      <top style="medium">
        <color indexed="9"/>
      </top>
      <bottom/>
      <diagonal/>
    </border>
    <border>
      <left/>
      <right style="thin">
        <color auto="1"/>
      </right>
      <top style="medium">
        <color indexed="9"/>
      </top>
      <bottom/>
      <diagonal/>
    </border>
    <border>
      <left style="medium">
        <color auto="1"/>
      </left>
      <right style="thin">
        <color auto="1"/>
      </right>
      <top style="medium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/>
      <top/>
      <bottom style="thin">
        <color indexed="9"/>
      </bottom>
      <diagonal/>
    </border>
    <border>
      <left style="medium">
        <color auto="1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9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auto="1"/>
      </right>
      <top style="medium">
        <color indexed="9"/>
      </top>
      <bottom/>
      <diagonal/>
    </border>
    <border>
      <left/>
      <right style="medium">
        <color auto="1"/>
      </right>
      <top style="medium">
        <color theme="0"/>
      </top>
      <bottom/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medium">
        <color auto="1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522">
    <xf numFmtId="0" fontId="0" fillId="0" borderId="0"/>
    <xf numFmtId="0" fontId="1" fillId="0" borderId="0"/>
    <xf numFmtId="0" fontId="19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65">
    <xf numFmtId="0" fontId="0" fillId="0" borderId="0" xfId="0"/>
    <xf numFmtId="0" fontId="0" fillId="7" borderId="0" xfId="0" applyFill="1"/>
    <xf numFmtId="0" fontId="0" fillId="7" borderId="0" xfId="0" applyFill="1" applyAlignment="1">
      <alignment horizontal="center" vertical="center"/>
    </xf>
    <xf numFmtId="166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23" fillId="2" borderId="0" xfId="1" applyFont="1" applyFill="1" applyAlignment="1">
      <alignment horizontal="left" vertical="center"/>
    </xf>
    <xf numFmtId="0" fontId="20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left" vertical="center"/>
    </xf>
    <xf numFmtId="0" fontId="25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26" fillId="2" borderId="0" xfId="1" applyFont="1" applyFill="1" applyAlignment="1">
      <alignment horizontal="right" vertical="center"/>
    </xf>
    <xf numFmtId="0" fontId="1" fillId="2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right" vertical="center"/>
    </xf>
    <xf numFmtId="0" fontId="21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1" fillId="3" borderId="45" xfId="1" applyFill="1" applyBorder="1" applyAlignment="1">
      <alignment horizontal="center" vertical="center"/>
    </xf>
    <xf numFmtId="0" fontId="1" fillId="3" borderId="44" xfId="1" applyFill="1" applyBorder="1" applyAlignment="1">
      <alignment horizontal="center" vertical="center"/>
    </xf>
    <xf numFmtId="0" fontId="1" fillId="3" borderId="46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3" borderId="23" xfId="1" applyFill="1" applyBorder="1" applyAlignment="1">
      <alignment horizontal="center" vertical="center"/>
    </xf>
    <xf numFmtId="0" fontId="1" fillId="3" borderId="0" xfId="1" applyFill="1" applyBorder="1" applyAlignment="1">
      <alignment horizontal="center" vertical="center"/>
    </xf>
    <xf numFmtId="0" fontId="1" fillId="3" borderId="22" xfId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1" fillId="3" borderId="0" xfId="1" applyFill="1" applyBorder="1" applyAlignment="1">
      <alignment horizontal="left" vertical="center"/>
    </xf>
    <xf numFmtId="0" fontId="1" fillId="2" borderId="42" xfId="1" applyFill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1" fillId="2" borderId="40" xfId="1" applyFill="1" applyBorder="1" applyAlignment="1">
      <alignment horizontal="center" vertical="center"/>
    </xf>
    <xf numFmtId="0" fontId="1" fillId="2" borderId="39" xfId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1" fillId="2" borderId="38" xfId="1" applyFill="1" applyBorder="1" applyAlignment="1">
      <alignment horizontal="center" vertical="center"/>
    </xf>
    <xf numFmtId="4" fontId="2" fillId="5" borderId="37" xfId="1" applyNumberFormat="1" applyFont="1" applyFill="1" applyBorder="1" applyAlignment="1">
      <alignment horizontal="center" vertical="center"/>
    </xf>
    <xf numFmtId="166" fontId="2" fillId="3" borderId="0" xfId="1" applyNumberFormat="1" applyFont="1" applyFill="1" applyBorder="1" applyAlignment="1">
      <alignment horizontal="center" vertical="center"/>
    </xf>
    <xf numFmtId="166" fontId="2" fillId="5" borderId="37" xfId="1" applyNumberFormat="1" applyFont="1" applyFill="1" applyBorder="1" applyAlignment="1">
      <alignment horizontal="center" vertical="center"/>
    </xf>
    <xf numFmtId="165" fontId="2" fillId="5" borderId="37" xfId="1" applyNumberFormat="1" applyFon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2" borderId="35" xfId="1" applyFill="1" applyBorder="1" applyAlignment="1">
      <alignment horizontal="center" vertical="center"/>
    </xf>
    <xf numFmtId="0" fontId="1" fillId="2" borderId="34" xfId="1" applyFill="1" applyBorder="1" applyAlignment="1">
      <alignment horizontal="center" vertical="center"/>
    </xf>
    <xf numFmtId="0" fontId="1" fillId="4" borderId="16" xfId="1" applyFill="1" applyBorder="1" applyAlignment="1">
      <alignment horizontal="center" vertical="center"/>
    </xf>
    <xf numFmtId="0" fontId="1" fillId="4" borderId="33" xfId="1" applyFill="1" applyBorder="1" applyAlignment="1">
      <alignment horizontal="center" vertical="center"/>
    </xf>
    <xf numFmtId="0" fontId="1" fillId="4" borderId="30" xfId="1" applyFill="1" applyBorder="1" applyAlignment="1">
      <alignment horizontal="center" vertical="center"/>
    </xf>
    <xf numFmtId="0" fontId="1" fillId="4" borderId="32" xfId="1" applyFill="1" applyBorder="1" applyAlignment="1">
      <alignment horizontal="center" vertical="center"/>
    </xf>
    <xf numFmtId="0" fontId="1" fillId="4" borderId="31" xfId="1" applyFill="1" applyBorder="1" applyAlignment="1">
      <alignment horizontal="center" vertical="center"/>
    </xf>
    <xf numFmtId="0" fontId="1" fillId="4" borderId="15" xfId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  <xf numFmtId="0" fontId="2" fillId="4" borderId="24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1" fillId="4" borderId="4" xfId="1" applyFill="1" applyBorder="1" applyAlignment="1">
      <alignment horizontal="center" vertical="center"/>
    </xf>
    <xf numFmtId="0" fontId="1" fillId="4" borderId="29" xfId="1" applyFill="1" applyBorder="1" applyAlignment="1">
      <alignment horizontal="center" vertical="center"/>
    </xf>
    <xf numFmtId="0" fontId="1" fillId="4" borderId="26" xfId="1" applyFill="1" applyBorder="1" applyAlignment="1">
      <alignment horizontal="center" vertical="center"/>
    </xf>
    <xf numFmtId="0" fontId="1" fillId="4" borderId="28" xfId="1" applyFill="1" applyBorder="1" applyAlignment="1">
      <alignment horizontal="center" vertical="center"/>
    </xf>
    <xf numFmtId="0" fontId="1" fillId="4" borderId="27" xfId="1" applyFill="1" applyBorder="1" applyAlignment="1">
      <alignment horizontal="center" vertical="center"/>
    </xf>
    <xf numFmtId="0" fontId="1" fillId="4" borderId="13" xfId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1" fillId="6" borderId="25" xfId="1" applyFill="1" applyBorder="1" applyAlignment="1">
      <alignment horizontal="center" vertical="center"/>
    </xf>
    <xf numFmtId="0" fontId="1" fillId="6" borderId="24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2" fillId="6" borderId="25" xfId="1" applyFont="1" applyFill="1" applyBorder="1" applyAlignment="1" applyProtection="1">
      <alignment horizontal="center" vertical="center"/>
    </xf>
    <xf numFmtId="173" fontId="6" fillId="2" borderId="7" xfId="1" applyNumberFormat="1" applyFont="1" applyFill="1" applyBorder="1" applyAlignment="1">
      <alignment horizontal="center" vertical="center"/>
    </xf>
    <xf numFmtId="173" fontId="6" fillId="2" borderId="6" xfId="1" applyNumberFormat="1" applyFont="1" applyFill="1" applyBorder="1" applyAlignment="1">
      <alignment horizontal="center" vertical="center"/>
    </xf>
    <xf numFmtId="173" fontId="6" fillId="2" borderId="5" xfId="1" applyNumberFormat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2" fontId="2" fillId="6" borderId="24" xfId="1" applyNumberFormat="1" applyFont="1" applyFill="1" applyBorder="1" applyAlignment="1" applyProtection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3" fontId="6" fillId="2" borderId="6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0" fontId="1" fillId="3" borderId="18" xfId="1" applyFill="1" applyBorder="1" applyAlignment="1">
      <alignment horizontal="center" vertical="center"/>
    </xf>
    <xf numFmtId="0" fontId="30" fillId="3" borderId="0" xfId="1" applyFont="1" applyFill="1" applyAlignment="1">
      <alignment horizontal="right" vertical="center"/>
    </xf>
    <xf numFmtId="165" fontId="2" fillId="5" borderId="17" xfId="1" applyNumberFormat="1" applyFont="1" applyFill="1" applyBorder="1" applyAlignment="1">
      <alignment horizontal="center" vertical="center"/>
    </xf>
    <xf numFmtId="0" fontId="30" fillId="4" borderId="8" xfId="1" applyFont="1" applyFill="1" applyBorder="1" applyAlignment="1">
      <alignment horizontal="center" vertical="center"/>
    </xf>
    <xf numFmtId="0" fontId="30" fillId="4" borderId="14" xfId="1" applyFont="1" applyFill="1" applyBorder="1" applyAlignment="1">
      <alignment horizontal="center" vertical="center"/>
    </xf>
    <xf numFmtId="172" fontId="1" fillId="2" borderId="6" xfId="1" applyNumberFormat="1" applyFill="1" applyBorder="1" applyAlignment="1">
      <alignment horizontal="center" vertical="center"/>
    </xf>
    <xf numFmtId="4" fontId="1" fillId="2" borderId="6" xfId="1" applyNumberFormat="1" applyFill="1" applyBorder="1" applyAlignment="1">
      <alignment horizontal="center" vertical="center"/>
    </xf>
    <xf numFmtId="4" fontId="1" fillId="2" borderId="5" xfId="1" applyNumberFormat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4" borderId="12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172" fontId="6" fillId="2" borderId="6" xfId="1" applyNumberFormat="1" applyFont="1" applyFill="1" applyBorder="1" applyAlignment="1">
      <alignment horizontal="center" vertical="center"/>
    </xf>
    <xf numFmtId="172" fontId="6" fillId="2" borderId="5" xfId="1" applyNumberFormat="1" applyFont="1" applyFill="1" applyBorder="1" applyAlignment="1">
      <alignment horizontal="center" vertical="center"/>
    </xf>
    <xf numFmtId="3" fontId="1" fillId="2" borderId="0" xfId="1" applyNumberFormat="1" applyFill="1" applyAlignment="1">
      <alignment horizontal="center" vertical="center"/>
    </xf>
    <xf numFmtId="0" fontId="30" fillId="3" borderId="0" xfId="1" applyFont="1" applyFill="1" applyBorder="1" applyAlignment="1">
      <alignment horizontal="center" vertical="center"/>
    </xf>
    <xf numFmtId="172" fontId="6" fillId="2" borderId="7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center" vertical="center"/>
    </xf>
    <xf numFmtId="171" fontId="6" fillId="2" borderId="0" xfId="1" applyNumberFormat="1" applyFont="1" applyFill="1" applyAlignment="1">
      <alignment horizontal="center" vertical="center"/>
    </xf>
    <xf numFmtId="167" fontId="1" fillId="2" borderId="0" xfId="1" applyNumberFormat="1" applyFill="1" applyAlignment="1">
      <alignment horizontal="center" vertical="center"/>
    </xf>
    <xf numFmtId="167" fontId="1" fillId="0" borderId="0" xfId="1" applyNumberFormat="1" applyFill="1" applyAlignment="1">
      <alignment horizontal="center" vertical="center"/>
    </xf>
    <xf numFmtId="167" fontId="2" fillId="5" borderId="17" xfId="1" applyNumberFormat="1" applyFont="1" applyFill="1" applyBorder="1" applyAlignment="1">
      <alignment horizontal="center" vertical="center"/>
    </xf>
    <xf numFmtId="167" fontId="30" fillId="3" borderId="0" xfId="1" applyNumberFormat="1" applyFont="1" applyFill="1" applyAlignment="1">
      <alignment horizontal="right" vertical="center"/>
    </xf>
    <xf numFmtId="172" fontId="1" fillId="2" borderId="5" xfId="1" applyNumberForma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177" fontId="2" fillId="5" borderId="37" xfId="1" applyNumberFormat="1" applyFont="1" applyFill="1" applyBorder="1" applyAlignment="1">
      <alignment horizontal="center" vertical="center"/>
    </xf>
    <xf numFmtId="177" fontId="2" fillId="3" borderId="0" xfId="1" applyNumberFormat="1" applyFont="1" applyFill="1" applyBorder="1" applyAlignment="1">
      <alignment horizontal="center" vertical="center"/>
    </xf>
    <xf numFmtId="175" fontId="2" fillId="5" borderId="37" xfId="1" applyNumberFormat="1" applyFont="1" applyFill="1" applyBorder="1" applyAlignment="1">
      <alignment horizontal="center" vertical="center"/>
    </xf>
    <xf numFmtId="175" fontId="2" fillId="3" borderId="0" xfId="1" applyNumberFormat="1" applyFont="1" applyFill="1" applyBorder="1" applyAlignment="1">
      <alignment horizontal="center" vertical="center"/>
    </xf>
    <xf numFmtId="178" fontId="6" fillId="2" borderId="7" xfId="1" applyNumberFormat="1" applyFont="1" applyFill="1" applyBorder="1" applyAlignment="1">
      <alignment horizontal="center" vertical="center"/>
    </xf>
    <xf numFmtId="178" fontId="6" fillId="2" borderId="6" xfId="1" applyNumberFormat="1" applyFont="1" applyFill="1" applyBorder="1" applyAlignment="1">
      <alignment horizontal="center" vertical="center"/>
    </xf>
    <xf numFmtId="178" fontId="6" fillId="2" borderId="5" xfId="1" applyNumberFormat="1" applyFont="1" applyFill="1" applyBorder="1" applyAlignment="1">
      <alignment horizontal="center" vertical="center"/>
    </xf>
    <xf numFmtId="2" fontId="2" fillId="6" borderId="25" xfId="1" applyNumberFormat="1" applyFont="1" applyFill="1" applyBorder="1" applyAlignment="1" applyProtection="1">
      <alignment horizontal="center" vertical="center"/>
    </xf>
    <xf numFmtId="179" fontId="2" fillId="5" borderId="37" xfId="1" applyNumberFormat="1" applyFont="1" applyFill="1" applyBorder="1" applyAlignment="1">
      <alignment horizontal="center" vertical="center"/>
    </xf>
    <xf numFmtId="179" fontId="2" fillId="3" borderId="0" xfId="1" applyNumberFormat="1" applyFont="1" applyFill="1" applyBorder="1" applyAlignment="1">
      <alignment horizontal="center" vertical="center"/>
    </xf>
    <xf numFmtId="179" fontId="1" fillId="3" borderId="0" xfId="1" applyNumberFormat="1" applyFill="1" applyBorder="1" applyAlignment="1">
      <alignment horizontal="center" vertical="center"/>
    </xf>
    <xf numFmtId="168" fontId="0" fillId="7" borderId="0" xfId="0" applyNumberFormat="1" applyFill="1" applyAlignment="1">
      <alignment horizontal="center" vertical="center"/>
    </xf>
    <xf numFmtId="0" fontId="0" fillId="7" borderId="0" xfId="0" applyNumberFormat="1" applyFill="1" applyAlignment="1">
      <alignment horizontal="center" vertical="center"/>
    </xf>
    <xf numFmtId="0" fontId="1" fillId="7" borderId="0" xfId="1" applyFill="1" applyAlignment="1">
      <alignment horizontal="center" vertical="center"/>
    </xf>
    <xf numFmtId="0" fontId="33" fillId="2" borderId="0" xfId="1" applyFont="1" applyFill="1" applyAlignment="1">
      <alignment horizontal="left" vertical="center"/>
    </xf>
    <xf numFmtId="0" fontId="0" fillId="7" borderId="0" xfId="0" applyFill="1" applyAlignment="1">
      <alignment vertical="center"/>
    </xf>
    <xf numFmtId="0" fontId="35" fillId="2" borderId="0" xfId="1" applyFont="1" applyFill="1" applyAlignment="1">
      <alignment horizontal="left" vertical="center"/>
    </xf>
    <xf numFmtId="0" fontId="36" fillId="7" borderId="0" xfId="1" applyFont="1" applyFill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31" fillId="7" borderId="0" xfId="3" applyFill="1" applyAlignment="1">
      <alignment vertical="center"/>
    </xf>
    <xf numFmtId="0" fontId="1" fillId="7" borderId="0" xfId="1" applyFill="1" applyAlignment="1">
      <alignment horizontal="left" vertical="center"/>
    </xf>
    <xf numFmtId="0" fontId="3" fillId="7" borderId="0" xfId="1" applyFont="1" applyFill="1" applyAlignment="1">
      <alignment horizontal="center" vertical="center"/>
    </xf>
    <xf numFmtId="164" fontId="1" fillId="7" borderId="0" xfId="1" applyNumberFormat="1" applyFill="1" applyAlignment="1">
      <alignment horizontal="center" vertical="center"/>
    </xf>
    <xf numFmtId="177" fontId="0" fillId="7" borderId="0" xfId="0" applyNumberFormat="1" applyFill="1" applyAlignment="1">
      <alignment horizontal="center" vertical="center"/>
    </xf>
    <xf numFmtId="0" fontId="43" fillId="7" borderId="0" xfId="0" applyFont="1" applyFill="1" applyBorder="1" applyAlignment="1">
      <alignment vertical="center"/>
    </xf>
    <xf numFmtId="0" fontId="42" fillId="7" borderId="0" xfId="0" applyFont="1" applyFill="1" applyBorder="1" applyAlignment="1">
      <alignment vertical="center"/>
    </xf>
    <xf numFmtId="0" fontId="44" fillId="7" borderId="0" xfId="1" applyFont="1" applyFill="1" applyBorder="1" applyAlignment="1">
      <alignment horizontal="center" vertical="center"/>
    </xf>
    <xf numFmtId="175" fontId="44" fillId="7" borderId="0" xfId="1" applyNumberFormat="1" applyFont="1" applyFill="1" applyBorder="1" applyAlignment="1">
      <alignment horizontal="center" vertical="center"/>
    </xf>
    <xf numFmtId="0" fontId="42" fillId="7" borderId="0" xfId="0" applyFont="1" applyFill="1" applyBorder="1" applyAlignment="1">
      <alignment horizontal="center" vertical="center"/>
    </xf>
    <xf numFmtId="174" fontId="42" fillId="7" borderId="0" xfId="0" applyNumberFormat="1" applyFont="1" applyFill="1" applyBorder="1" applyAlignment="1">
      <alignment horizontal="center" vertical="center"/>
    </xf>
    <xf numFmtId="176" fontId="43" fillId="7" borderId="0" xfId="0" applyNumberFormat="1" applyFont="1" applyFill="1" applyBorder="1" applyAlignment="1">
      <alignment horizontal="center" vertical="center"/>
    </xf>
    <xf numFmtId="0" fontId="43" fillId="7" borderId="0" xfId="0" applyFont="1" applyFill="1" applyBorder="1" applyAlignment="1">
      <alignment horizontal="center" vertical="center"/>
    </xf>
    <xf numFmtId="0" fontId="42" fillId="7" borderId="0" xfId="0" applyFont="1" applyFill="1" applyAlignment="1">
      <alignment horizontal="center" vertical="center"/>
    </xf>
    <xf numFmtId="0" fontId="43" fillId="7" borderId="0" xfId="0" applyFont="1" applyFill="1" applyAlignment="1">
      <alignment horizontal="center" vertical="center"/>
    </xf>
    <xf numFmtId="0" fontId="43" fillId="7" borderId="0" xfId="0" applyFont="1" applyFill="1" applyAlignment="1">
      <alignment vertical="center"/>
    </xf>
    <xf numFmtId="0" fontId="42" fillId="7" borderId="0" xfId="0" applyFont="1" applyFill="1" applyAlignment="1">
      <alignment horizontal="center"/>
    </xf>
    <xf numFmtId="0" fontId="43" fillId="7" borderId="0" xfId="0" applyFont="1" applyFill="1" applyAlignment="1">
      <alignment horizontal="center"/>
    </xf>
    <xf numFmtId="0" fontId="43" fillId="7" borderId="0" xfId="0" applyFont="1" applyFill="1"/>
    <xf numFmtId="166" fontId="42" fillId="7" borderId="0" xfId="0" applyNumberFormat="1" applyFont="1" applyFill="1" applyAlignment="1">
      <alignment horizontal="center" vertical="center"/>
    </xf>
    <xf numFmtId="168" fontId="43" fillId="7" borderId="0" xfId="0" applyNumberFormat="1" applyFont="1" applyFill="1" applyAlignment="1">
      <alignment horizontal="center" vertical="center"/>
    </xf>
    <xf numFmtId="175" fontId="43" fillId="7" borderId="0" xfId="0" applyNumberFormat="1" applyFont="1" applyFill="1" applyAlignment="1">
      <alignment horizontal="center" vertical="center"/>
    </xf>
    <xf numFmtId="174" fontId="43" fillId="7" borderId="0" xfId="0" applyNumberFormat="1" applyFont="1" applyFill="1" applyAlignment="1">
      <alignment horizontal="center"/>
    </xf>
    <xf numFmtId="2" fontId="42" fillId="7" borderId="0" xfId="0" applyNumberFormat="1" applyFont="1" applyFill="1" applyAlignment="1">
      <alignment horizontal="center" vertical="center"/>
    </xf>
    <xf numFmtId="2" fontId="42" fillId="7" borderId="0" xfId="0" applyNumberFormat="1" applyFont="1" applyFill="1" applyAlignment="1">
      <alignment horizontal="center"/>
    </xf>
    <xf numFmtId="170" fontId="43" fillId="7" borderId="0" xfId="0" applyNumberFormat="1" applyFont="1" applyFill="1" applyAlignment="1">
      <alignment horizontal="center" vertical="center"/>
    </xf>
    <xf numFmtId="0" fontId="43" fillId="7" borderId="0" xfId="0" applyNumberFormat="1" applyFont="1" applyFill="1" applyAlignment="1">
      <alignment horizontal="center" vertical="center"/>
    </xf>
    <xf numFmtId="1" fontId="43" fillId="7" borderId="0" xfId="0" applyNumberFormat="1" applyFont="1" applyFill="1" applyAlignment="1">
      <alignment horizontal="center"/>
    </xf>
    <xf numFmtId="180" fontId="0" fillId="7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39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167" fontId="36" fillId="7" borderId="0" xfId="1" applyNumberFormat="1" applyFont="1" applyFill="1" applyAlignment="1">
      <alignment horizontal="left" vertical="center"/>
    </xf>
    <xf numFmtId="0" fontId="51" fillId="7" borderId="0" xfId="0" applyFont="1" applyFill="1" applyBorder="1" applyAlignment="1">
      <alignment vertical="center"/>
    </xf>
    <xf numFmtId="0" fontId="51" fillId="7" borderId="0" xfId="0" applyFont="1" applyFill="1" applyAlignment="1">
      <alignment horizontal="center" vertical="center"/>
    </xf>
    <xf numFmtId="0" fontId="1" fillId="7" borderId="0" xfId="1" applyNumberFormat="1" applyFont="1" applyFill="1" applyAlignment="1">
      <alignment horizontal="center" vertical="center"/>
    </xf>
    <xf numFmtId="182" fontId="1" fillId="7" borderId="0" xfId="1" applyNumberFormat="1" applyFont="1" applyFill="1" applyAlignment="1">
      <alignment horizontal="center" vertical="center"/>
    </xf>
    <xf numFmtId="0" fontId="49" fillId="7" borderId="0" xfId="0" applyFont="1" applyFill="1" applyAlignment="1">
      <alignment horizontal="center" vertical="center"/>
    </xf>
    <xf numFmtId="169" fontId="1" fillId="7" borderId="0" xfId="1" applyNumberFormat="1" applyFont="1" applyFill="1" applyAlignment="1">
      <alignment horizontal="center" vertical="center"/>
    </xf>
    <xf numFmtId="0" fontId="52" fillId="7" borderId="0" xfId="0" applyFont="1" applyFill="1" applyAlignment="1">
      <alignment horizontal="right"/>
    </xf>
    <xf numFmtId="0" fontId="53" fillId="7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2" fontId="54" fillId="7" borderId="0" xfId="0" applyNumberFormat="1" applyFont="1" applyFill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56" fillId="7" borderId="0" xfId="1" applyNumberFormat="1" applyFont="1" applyFill="1" applyBorder="1" applyAlignment="1">
      <alignment horizontal="center" vertical="center"/>
    </xf>
    <xf numFmtId="176" fontId="56" fillId="7" borderId="0" xfId="1" applyNumberFormat="1" applyFont="1" applyFill="1" applyBorder="1" applyAlignment="1">
      <alignment horizontal="center" vertical="center"/>
    </xf>
    <xf numFmtId="183" fontId="43" fillId="7" borderId="0" xfId="0" applyNumberFormat="1" applyFont="1" applyFill="1" applyBorder="1" applyAlignment="1">
      <alignment horizontal="center" vertical="center"/>
    </xf>
    <xf numFmtId="174" fontId="56" fillId="7" borderId="0" xfId="1" applyNumberFormat="1" applyFont="1" applyFill="1" applyBorder="1" applyAlignment="1">
      <alignment horizontal="center" vertical="center"/>
    </xf>
    <xf numFmtId="3" fontId="43" fillId="7" borderId="0" xfId="0" applyNumberFormat="1" applyFont="1" applyFill="1" applyBorder="1" applyAlignment="1">
      <alignment horizontal="center" vertical="center"/>
    </xf>
    <xf numFmtId="174" fontId="43" fillId="7" borderId="0" xfId="0" applyNumberFormat="1" applyFont="1" applyFill="1" applyBorder="1" applyAlignment="1">
      <alignment horizontal="center" vertical="center"/>
    </xf>
    <xf numFmtId="175" fontId="43" fillId="7" borderId="0" xfId="0" applyNumberFormat="1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right"/>
    </xf>
    <xf numFmtId="0" fontId="44" fillId="7" borderId="0" xfId="1" applyFont="1" applyFill="1" applyBorder="1" applyAlignment="1">
      <alignment horizontal="right" vertical="center"/>
    </xf>
    <xf numFmtId="181" fontId="44" fillId="7" borderId="0" xfId="1" applyNumberFormat="1" applyFont="1" applyFill="1" applyBorder="1" applyAlignment="1">
      <alignment horizontal="center" vertical="center"/>
    </xf>
    <xf numFmtId="0" fontId="58" fillId="7" borderId="0" xfId="3" applyFont="1" applyFill="1" applyBorder="1" applyAlignment="1">
      <alignment vertical="center"/>
    </xf>
    <xf numFmtId="170" fontId="43" fillId="7" borderId="0" xfId="0" applyNumberFormat="1" applyFont="1" applyFill="1" applyBorder="1" applyAlignment="1">
      <alignment horizontal="center" vertical="center"/>
    </xf>
    <xf numFmtId="182" fontId="43" fillId="7" borderId="0" xfId="0" applyNumberFormat="1" applyFont="1" applyFill="1" applyBorder="1" applyAlignment="1">
      <alignment horizontal="center" vertical="center"/>
    </xf>
    <xf numFmtId="184" fontId="43" fillId="7" borderId="0" xfId="0" applyNumberFormat="1" applyFont="1" applyFill="1" applyBorder="1" applyAlignment="1">
      <alignment horizontal="center" vertical="center"/>
    </xf>
    <xf numFmtId="185" fontId="1" fillId="7" borderId="0" xfId="1" applyNumberFormat="1" applyFont="1" applyFill="1" applyAlignment="1">
      <alignment horizontal="left" vertical="center"/>
    </xf>
    <xf numFmtId="0" fontId="50" fillId="7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83" fontId="1" fillId="7" borderId="0" xfId="0" applyNumberFormat="1" applyFont="1" applyFill="1" applyAlignment="1">
      <alignment horizontal="center" vertical="center"/>
    </xf>
    <xf numFmtId="183" fontId="1" fillId="7" borderId="55" xfId="0" applyNumberFormat="1" applyFont="1" applyFill="1" applyBorder="1" applyAlignment="1">
      <alignment horizontal="center" vertical="center"/>
    </xf>
    <xf numFmtId="183" fontId="1" fillId="7" borderId="0" xfId="0" applyNumberFormat="1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vertical="center"/>
    </xf>
    <xf numFmtId="177" fontId="60" fillId="7" borderId="0" xfId="0" applyNumberFormat="1" applyFont="1" applyFill="1" applyAlignment="1">
      <alignment horizontal="center" vertical="center"/>
    </xf>
    <xf numFmtId="0" fontId="54" fillId="7" borderId="0" xfId="0" applyNumberFormat="1" applyFont="1" applyFill="1" applyAlignment="1">
      <alignment horizontal="center" vertical="center"/>
    </xf>
    <xf numFmtId="0" fontId="60" fillId="7" borderId="0" xfId="0" applyNumberFormat="1" applyFont="1" applyFill="1" applyAlignment="1">
      <alignment horizontal="center" vertical="center"/>
    </xf>
    <xf numFmtId="186" fontId="2" fillId="7" borderId="0" xfId="1" applyNumberFormat="1" applyFont="1" applyFill="1" applyAlignment="1">
      <alignment horizontal="center" vertical="center"/>
    </xf>
    <xf numFmtId="0" fontId="36" fillId="7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6" fillId="7" borderId="0" xfId="0" applyFont="1" applyFill="1" applyBorder="1" applyAlignment="1">
      <alignment horizontal="center"/>
    </xf>
    <xf numFmtId="0" fontId="36" fillId="7" borderId="0" xfId="0" applyFont="1" applyFill="1" applyBorder="1" applyAlignment="1">
      <alignment horizontal="center" vertical="top"/>
    </xf>
    <xf numFmtId="169" fontId="0" fillId="7" borderId="0" xfId="0" applyNumberFormat="1" applyFill="1" applyAlignment="1">
      <alignment horizontal="center" vertical="center"/>
    </xf>
    <xf numFmtId="0" fontId="36" fillId="7" borderId="0" xfId="1" applyFont="1" applyFill="1" applyAlignment="1">
      <alignment horizontal="left" vertical="center"/>
    </xf>
    <xf numFmtId="0" fontId="62" fillId="7" borderId="0" xfId="3" applyFont="1" applyFill="1" applyAlignment="1">
      <alignment vertical="center"/>
    </xf>
    <xf numFmtId="0" fontId="50" fillId="9" borderId="48" xfId="1" applyFont="1" applyFill="1" applyBorder="1" applyAlignment="1">
      <alignment horizontal="center" vertical="center"/>
    </xf>
    <xf numFmtId="0" fontId="50" fillId="8" borderId="49" xfId="1" applyFont="1" applyFill="1" applyBorder="1" applyAlignment="1" applyProtection="1">
      <alignment horizontal="center" vertical="center"/>
      <protection locked="0"/>
    </xf>
    <xf numFmtId="166" fontId="50" fillId="2" borderId="49" xfId="1" applyNumberFormat="1" applyFont="1" applyFill="1" applyBorder="1" applyAlignment="1">
      <alignment horizontal="center" vertical="center"/>
    </xf>
    <xf numFmtId="167" fontId="50" fillId="7" borderId="0" xfId="1" applyNumberFormat="1" applyFont="1" applyFill="1" applyAlignment="1">
      <alignment horizontal="center" vertical="center"/>
    </xf>
    <xf numFmtId="3" fontId="63" fillId="7" borderId="0" xfId="1" applyNumberFormat="1" applyFont="1" applyFill="1" applyAlignment="1">
      <alignment horizontal="center" vertical="center"/>
    </xf>
    <xf numFmtId="0" fontId="61" fillId="7" borderId="0" xfId="0" applyFont="1" applyFill="1" applyAlignment="1">
      <alignment vertical="center"/>
    </xf>
    <xf numFmtId="168" fontId="50" fillId="2" borderId="49" xfId="1" applyNumberFormat="1" applyFont="1" applyFill="1" applyBorder="1" applyAlignment="1">
      <alignment horizontal="center" vertical="center"/>
    </xf>
    <xf numFmtId="177" fontId="50" fillId="2" borderId="49" xfId="1" applyNumberFormat="1" applyFont="1" applyFill="1" applyBorder="1" applyAlignment="1">
      <alignment horizontal="center" vertical="center"/>
    </xf>
    <xf numFmtId="0" fontId="63" fillId="7" borderId="0" xfId="1" applyFont="1" applyFill="1" applyAlignment="1">
      <alignment horizontal="center" vertical="center"/>
    </xf>
    <xf numFmtId="177" fontId="63" fillId="7" borderId="0" xfId="1" applyNumberFormat="1" applyFont="1" applyFill="1" applyAlignment="1">
      <alignment horizontal="center" vertical="center"/>
    </xf>
    <xf numFmtId="166" fontId="50" fillId="10" borderId="49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0" fontId="60" fillId="7" borderId="0" xfId="0" applyNumberFormat="1" applyFont="1" applyFill="1" applyAlignment="1">
      <alignment horizontal="center" vertical="center"/>
    </xf>
    <xf numFmtId="0" fontId="36" fillId="7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7" borderId="0" xfId="1" applyFont="1" applyFill="1" applyAlignment="1">
      <alignment horizontal="left" vertical="center"/>
    </xf>
    <xf numFmtId="0" fontId="51" fillId="7" borderId="0" xfId="0" applyFont="1" applyFill="1" applyBorder="1" applyAlignment="1">
      <alignment horizontal="center" vertical="center"/>
    </xf>
    <xf numFmtId="0" fontId="49" fillId="7" borderId="0" xfId="0" applyFont="1" applyFill="1" applyBorder="1" applyAlignment="1">
      <alignment horizontal="center" vertical="center"/>
    </xf>
    <xf numFmtId="0" fontId="65" fillId="7" borderId="0" xfId="3" applyFont="1" applyFill="1" applyBorder="1" applyAlignment="1">
      <alignment vertical="center"/>
    </xf>
    <xf numFmtId="176" fontId="1" fillId="7" borderId="0" xfId="1" applyNumberFormat="1" applyFont="1" applyFill="1" applyAlignment="1">
      <alignment horizontal="center" vertical="center"/>
    </xf>
    <xf numFmtId="0" fontId="36" fillId="7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10" borderId="50" xfId="1" applyFont="1" applyFill="1" applyBorder="1" applyAlignment="1">
      <alignment horizontal="center" vertical="center"/>
    </xf>
    <xf numFmtId="0" fontId="38" fillId="10" borderId="47" xfId="0" applyFont="1" applyFill="1" applyBorder="1" applyAlignment="1">
      <alignment horizontal="center" vertical="center"/>
    </xf>
    <xf numFmtId="0" fontId="38" fillId="10" borderId="51" xfId="0" applyFont="1" applyFill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6" fillId="7" borderId="0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36" fillId="7" borderId="0" xfId="1" applyFont="1" applyFill="1" applyAlignment="1">
      <alignment horizontal="left" vertical="center"/>
    </xf>
    <xf numFmtId="0" fontId="0" fillId="0" borderId="0" xfId="0" applyAlignment="1">
      <alignment vertical="center"/>
    </xf>
    <xf numFmtId="0" fontId="36" fillId="7" borderId="0" xfId="1" applyFont="1" applyFill="1" applyBorder="1" applyAlignment="1">
      <alignment horizontal="right" vertical="center"/>
    </xf>
    <xf numFmtId="0" fontId="0" fillId="0" borderId="0" xfId="0" applyBorder="1" applyAlignment="1"/>
    <xf numFmtId="0" fontId="47" fillId="7" borderId="0" xfId="1" applyFont="1" applyFill="1" applyAlignment="1">
      <alignment horizontal="center" vertical="center"/>
    </xf>
    <xf numFmtId="0" fontId="48" fillId="0" borderId="0" xfId="0" applyFont="1" applyAlignment="1">
      <alignment vertical="center"/>
    </xf>
    <xf numFmtId="0" fontId="40" fillId="7" borderId="0" xfId="1" applyFont="1" applyFill="1" applyAlignment="1">
      <alignment horizontal="center" vertical="center"/>
    </xf>
    <xf numFmtId="0" fontId="39" fillId="7" borderId="0" xfId="0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41" fillId="7" borderId="0" xfId="0" applyFont="1" applyFill="1" applyAlignment="1">
      <alignment horizontal="center" vertical="center"/>
    </xf>
    <xf numFmtId="0" fontId="37" fillId="7" borderId="52" xfId="1" applyFont="1" applyFill="1" applyBorder="1" applyAlignment="1">
      <alignment horizontal="center" vertical="center"/>
    </xf>
    <xf numFmtId="0" fontId="38" fillId="7" borderId="53" xfId="0" applyFont="1" applyFill="1" applyBorder="1" applyAlignment="1">
      <alignment horizontal="center" vertical="center"/>
    </xf>
    <xf numFmtId="0" fontId="38" fillId="7" borderId="54" xfId="0" applyFont="1" applyFill="1" applyBorder="1" applyAlignment="1">
      <alignment horizontal="center" vertical="center"/>
    </xf>
    <xf numFmtId="0" fontId="38" fillId="7" borderId="18" xfId="0" applyFont="1" applyFill="1" applyBorder="1" applyAlignment="1">
      <alignment horizontal="center" vertical="center"/>
    </xf>
    <xf numFmtId="0" fontId="37" fillId="8" borderId="50" xfId="1" applyFont="1" applyFill="1" applyBorder="1" applyAlignment="1">
      <alignment horizontal="center" vertical="center"/>
    </xf>
    <xf numFmtId="0" fontId="38" fillId="8" borderId="47" xfId="0" applyFont="1" applyFill="1" applyBorder="1" applyAlignment="1">
      <alignment horizontal="center" vertical="center"/>
    </xf>
    <xf numFmtId="0" fontId="38" fillId="8" borderId="51" xfId="0" applyFont="1" applyFill="1" applyBorder="1" applyAlignment="1">
      <alignment horizontal="center" vertical="center"/>
    </xf>
    <xf numFmtId="0" fontId="38" fillId="8" borderId="18" xfId="0" applyFont="1" applyFill="1" applyBorder="1" applyAlignment="1">
      <alignment horizontal="center" vertical="center"/>
    </xf>
  </cellXfs>
  <cellStyles count="522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Hyperlink" xfId="3" builtinId="8"/>
    <cellStyle name="Normal" xfId="0" builtinId="0"/>
    <cellStyle name="Normal 2" xfId="1"/>
    <cellStyle name="Normal 3" xfId="2"/>
  </cellStyles>
  <dxfs count="7">
    <dxf>
      <font>
        <b/>
        <i val="0"/>
        <color auto="1"/>
      </font>
      <fill>
        <patternFill patternType="solid">
          <fgColor theme="0"/>
          <bgColor theme="0"/>
        </patternFill>
      </fill>
    </dxf>
    <dxf>
      <font>
        <b/>
        <i val="0"/>
        <color auto="1"/>
      </font>
      <fill>
        <patternFill patternType="solid">
          <fgColor theme="0"/>
          <bgColor theme="0"/>
        </patternFill>
      </fill>
    </dxf>
    <dxf>
      <font>
        <b/>
        <i val="0"/>
        <color auto="1"/>
      </font>
      <fill>
        <patternFill patternType="solid">
          <fgColor theme="0"/>
          <bgColor theme="0"/>
        </patternFill>
      </fill>
    </dxf>
    <dxf>
      <font>
        <b/>
        <i val="0"/>
        <color auto="1"/>
      </font>
      <fill>
        <patternFill patternType="solid">
          <fgColor theme="0"/>
          <bgColor theme="0"/>
        </patternFill>
      </fill>
    </dxf>
    <dxf>
      <font>
        <b/>
        <i val="0"/>
        <color auto="1"/>
      </font>
      <fill>
        <patternFill patternType="solid">
          <fgColor indexed="64"/>
          <bgColor theme="0"/>
        </patternFill>
      </fill>
    </dxf>
    <dxf>
      <font>
        <b/>
        <i val="0"/>
        <color auto="1"/>
      </font>
      <fill>
        <patternFill patternType="solid">
          <fgColor indexed="64"/>
          <bgColor theme="0"/>
        </patternFill>
      </fill>
    </dxf>
    <dxf>
      <font>
        <b/>
        <i val="0"/>
        <color auto="1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X </a:t>
            </a:r>
            <a:r>
              <a:rPr lang="en-US" sz="1400" baseline="-25000"/>
              <a:t>factor</a:t>
            </a:r>
            <a:r>
              <a:rPr lang="en-US" sz="1400"/>
              <a:t>  and  Y </a:t>
            </a:r>
            <a:r>
              <a:rPr lang="en-US" sz="1400" baseline="-25000"/>
              <a:t>factor</a:t>
            </a:r>
            <a:r>
              <a:rPr lang="en-US" sz="1400"/>
              <a:t>   vs.   Ratio b / a</a:t>
            </a:r>
          </a:p>
        </c:rich>
      </c:tx>
      <c:layout>
        <c:manualLayout>
          <c:xMode val="edge"/>
          <c:yMode val="edge"/>
          <c:x val="0.36903261705423"/>
          <c:y val="0.00130510021337069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Y Factor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33"/>
              <c:layout>
                <c:manualLayout>
                  <c:x val="-0.0723689167145785"/>
                  <c:y val="-0.0323059013993767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latin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latin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GRAN_Method!$AH$18:$AH$68</c:f>
              <c:numCache>
                <c:formatCode>0.00</c:formatCode>
                <c:ptCount val="51"/>
                <c:pt idx="0" formatCode="0.000">
                  <c:v>0.001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</c:v>
                </c:pt>
                <c:pt idx="29">
                  <c:v>0.58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1.0</c:v>
                </c:pt>
              </c:numCache>
            </c:numRef>
          </c:xVal>
          <c:yVal>
            <c:numRef>
              <c:f>GRAN_Method!$AS$18:$AS$68</c:f>
              <c:numCache>
                <c:formatCode>0.0000000000</c:formatCode>
                <c:ptCount val="51"/>
                <c:pt idx="0">
                  <c:v>0.000249879348900409</c:v>
                </c:pt>
                <c:pt idx="1">
                  <c:v>0.00499621865927064</c:v>
                </c:pt>
                <c:pt idx="2">
                  <c:v>0.00996797033743578</c:v>
                </c:pt>
                <c:pt idx="3">
                  <c:v>0.0149009753302993</c:v>
                </c:pt>
                <c:pt idx="4">
                  <c:v>0.0197836614530331</c:v>
                </c:pt>
                <c:pt idx="5">
                  <c:v>0.0246064987081318</c:v>
                </c:pt>
                <c:pt idx="6">
                  <c:v>0.0293616811632282</c:v>
                </c:pt>
                <c:pt idx="7">
                  <c:v>0.0340428606354292</c:v>
                </c:pt>
                <c:pt idx="8">
                  <c:v>0.0386449241590566</c:v>
                </c:pt>
                <c:pt idx="9">
                  <c:v>0.0431638082293995</c:v>
                </c:pt>
                <c:pt idx="10">
                  <c:v>0.0475963437420196</c:v>
                </c:pt>
                <c:pt idx="11">
                  <c:v>0.0519401263892696</c:v>
                </c:pt>
                <c:pt idx="12">
                  <c:v>0.0561934080368772</c:v>
                </c:pt>
                <c:pt idx="13">
                  <c:v>0.0603550052876805</c:v>
                </c:pt>
                <c:pt idx="14">
                  <c:v>0.0644242220507665</c:v>
                </c:pt>
                <c:pt idx="15">
                  <c:v>0.0684007834763193</c:v>
                </c:pt>
                <c:pt idx="16">
                  <c:v>0.0722847790933383</c:v>
                </c:pt>
                <c:pt idx="17">
                  <c:v>0.0760766134029818</c:v>
                </c:pt>
                <c:pt idx="18">
                  <c:v>0.0797769625385455</c:v>
                </c:pt>
                <c:pt idx="19">
                  <c:v>0.0833867359079229</c:v>
                </c:pt>
                <c:pt idx="20">
                  <c:v>0.0869070419897802</c:v>
                </c:pt>
                <c:pt idx="21">
                  <c:v>0.0903391576644634</c:v>
                </c:pt>
                <c:pt idx="22">
                  <c:v>0.0936845006288733</c:v>
                </c:pt>
                <c:pt idx="23">
                  <c:v>0.0969446045750184</c:v>
                </c:pt>
                <c:pt idx="24">
                  <c:v>0.100121096908693</c:v>
                </c:pt>
                <c:pt idx="25">
                  <c:v>0.103215678851615</c:v>
                </c:pt>
                <c:pt idx="26">
                  <c:v>0.10623010781134</c:v>
                </c:pt>
                <c:pt idx="27">
                  <c:v>0.109166181922249</c:v>
                </c:pt>
                <c:pt idx="28">
                  <c:v>0.112025726661888</c:v>
                </c:pt>
                <c:pt idx="29">
                  <c:v>0.114810583433703</c:v>
                </c:pt>
                <c:pt idx="30">
                  <c:v>0.117522599983887</c:v>
                </c:pt>
                <c:pt idx="31">
                  <c:v>0.120163622490377</c:v>
                </c:pt>
                <c:pt idx="32">
                  <c:v>0.122735489130064</c:v>
                </c:pt>
                <c:pt idx="33">
                  <c:v>0.125240024899875</c:v>
                </c:pt>
                <c:pt idx="34">
                  <c:v>0.12767903744252</c:v>
                </c:pt>
                <c:pt idx="35">
                  <c:v>0.130054313612233</c:v>
                </c:pt>
                <c:pt idx="36">
                  <c:v>0.132367616513794</c:v>
                </c:pt>
                <c:pt idx="37">
                  <c:v>0.134620682763363</c:v>
                </c:pt>
                <c:pt idx="38">
                  <c:v>0.1368152197561</c:v>
                </c:pt>
                <c:pt idx="39">
                  <c:v>0.13895290278719</c:v>
                </c:pt>
                <c:pt idx="40">
                  <c:v>0.141035371963615</c:v>
                </c:pt>
                <c:pt idx="41">
                  <c:v>0.14306422896771</c:v>
                </c:pt>
                <c:pt idx="42">
                  <c:v>0.145041033894269</c:v>
                </c:pt>
                <c:pt idx="43">
                  <c:v>0.146967302584432</c:v>
                </c:pt>
                <c:pt idx="44">
                  <c:v>0.148844505126029</c:v>
                </c:pt>
                <c:pt idx="45">
                  <c:v>0.150674066485029</c:v>
                </c:pt>
                <c:pt idx="46">
                  <c:v>0.152457370580548</c:v>
                </c:pt>
                <c:pt idx="47">
                  <c:v>0.154195769520162</c:v>
                </c:pt>
                <c:pt idx="48">
                  <c:v>0.155890600177068</c:v>
                </c:pt>
                <c:pt idx="49">
                  <c:v>0.157543210819982</c:v>
                </c:pt>
                <c:pt idx="50">
                  <c:v>0.159155001104221</c:v>
                </c:pt>
              </c:numCache>
            </c:numRef>
          </c:yVal>
          <c:smooth val="1"/>
        </c:ser>
        <c:ser>
          <c:idx val="1"/>
          <c:order val="1"/>
          <c:tx>
            <c:v>X Factor</c:v>
          </c:tx>
          <c:spPr>
            <a:ln>
              <a:solidFill>
                <a:srgbClr val="000090"/>
              </a:solidFill>
            </a:ln>
          </c:spPr>
          <c:marker>
            <c:symbol val="none"/>
          </c:marker>
          <c:dLbls>
            <c:dLbl>
              <c:idx val="30"/>
              <c:layout>
                <c:manualLayout>
                  <c:x val="-0.147503159424998"/>
                  <c:y val="0.0147623134924173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latin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latin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GRAN_Method!$AU$18:$AU$68</c:f>
              <c:numCache>
                <c:formatCode>0.00</c:formatCode>
                <c:ptCount val="51"/>
                <c:pt idx="0" formatCode="General">
                  <c:v>0.001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</c:v>
                </c:pt>
                <c:pt idx="29">
                  <c:v>0.58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 formatCode="General">
                  <c:v>1.0</c:v>
                </c:pt>
              </c:numCache>
            </c:numRef>
          </c:xVal>
          <c:yVal>
            <c:numRef>
              <c:f>GRAN_Method!$BF$18:$BF$68</c:f>
              <c:numCache>
                <c:formatCode>0.000000000</c:formatCode>
                <c:ptCount val="51"/>
                <c:pt idx="0">
                  <c:v>0.00157003789741307</c:v>
                </c:pt>
                <c:pt idx="1">
                  <c:v>0.0313921666207433</c:v>
                </c:pt>
                <c:pt idx="2">
                  <c:v>0.0626306042534845</c:v>
                </c:pt>
                <c:pt idx="3">
                  <c:v>0.093625589600205</c:v>
                </c:pt>
                <c:pt idx="4">
                  <c:v>0.124304411990627</c:v>
                </c:pt>
                <c:pt idx="5">
                  <c:v>0.15460719251568</c:v>
                </c:pt>
                <c:pt idx="6">
                  <c:v>0.184484885065389</c:v>
                </c:pt>
                <c:pt idx="7">
                  <c:v>0.213897602922693</c:v>
                </c:pt>
                <c:pt idx="8">
                  <c:v>0.242813220491509</c:v>
                </c:pt>
                <c:pt idx="9">
                  <c:v>0.271206206121044</c:v>
                </c:pt>
                <c:pt idx="10">
                  <c:v>0.29905664781427</c:v>
                </c:pt>
                <c:pt idx="11">
                  <c:v>0.32634943890107</c:v>
                </c:pt>
                <c:pt idx="12">
                  <c:v>0.353073595540611</c:v>
                </c:pt>
                <c:pt idx="13">
                  <c:v>0.379221682217773</c:v>
                </c:pt>
                <c:pt idx="14">
                  <c:v>0.404789325239515</c:v>
                </c:pt>
                <c:pt idx="15">
                  <c:v>0.429774797643679</c:v>
                </c:pt>
                <c:pt idx="16">
                  <c:v>0.454178661929592</c:v>
                </c:pt>
                <c:pt idx="17">
                  <c:v>0.478003459631619</c:v>
                </c:pt>
                <c:pt idx="18">
                  <c:v>0.501253439008229</c:v>
                </c:pt>
                <c:pt idx="19">
                  <c:v>0.523934314034793</c:v>
                </c:pt>
                <c:pt idx="20">
                  <c:v>0.546053049493208</c:v>
                </c:pt>
                <c:pt idx="21">
                  <c:v>0.567617668269676</c:v>
                </c:pt>
                <c:pt idx="22">
                  <c:v>0.588637078028996</c:v>
                </c:pt>
                <c:pt idx="23">
                  <c:v>0.609120915253482</c:v>
                </c:pt>
                <c:pt idx="24">
                  <c:v>0.629079405242436</c:v>
                </c:pt>
                <c:pt idx="25">
                  <c:v>0.648523237088205</c:v>
                </c:pt>
                <c:pt idx="26">
                  <c:v>0.667463452902254</c:v>
                </c:pt>
                <c:pt idx="27">
                  <c:v>0.685911350683835</c:v>
                </c:pt>
                <c:pt idx="28">
                  <c:v>0.703878400229693</c:v>
                </c:pt>
                <c:pt idx="29">
                  <c:v>0.72137617140013</c:v>
                </c:pt>
                <c:pt idx="30">
                  <c:v>0.738416273909861</c:v>
                </c:pt>
                <c:pt idx="31">
                  <c:v>0.755010307625577</c:v>
                </c:pt>
                <c:pt idx="32">
                  <c:v>0.771169822151082</c:v>
                </c:pt>
                <c:pt idx="33">
                  <c:v>0.786906284289894</c:v>
                </c:pt>
                <c:pt idx="34">
                  <c:v>0.802231051818735</c:v>
                </c:pt>
                <c:pt idx="35">
                  <c:v>0.817155351908589</c:v>
                </c:pt>
                <c:pt idx="36">
                  <c:v>0.831690262516951</c:v>
                </c:pt>
                <c:pt idx="37">
                  <c:v>0.845846695171151</c:v>
                </c:pt>
                <c:pt idx="38">
                  <c:v>0.859635377791915</c:v>
                </c:pt>
                <c:pt idx="39">
                  <c:v>0.873066836593935</c:v>
                </c:pt>
                <c:pt idx="40">
                  <c:v>0.886151376671057</c:v>
                </c:pt>
                <c:pt idx="41">
                  <c:v>0.898899061651359</c:v>
                </c:pt>
                <c:pt idx="42">
                  <c:v>0.911319693818234</c:v>
                </c:pt>
                <c:pt idx="43">
                  <c:v>0.923422797360434</c:v>
                </c:pt>
                <c:pt idx="44">
                  <c:v>0.935217608963511</c:v>
                </c:pt>
                <c:pt idx="45">
                  <c:v>0.946713081809921</c:v>
                </c:pt>
                <c:pt idx="46">
                  <c:v>0.957917911241902</c:v>
                </c:pt>
                <c:pt idx="47">
                  <c:v>0.968840592882895</c:v>
                </c:pt>
                <c:pt idx="48">
                  <c:v>0.979489526936088</c:v>
                </c:pt>
                <c:pt idx="49">
                  <c:v>0.989873185706263</c:v>
                </c:pt>
                <c:pt idx="50" formatCode="0">
                  <c:v>1.00000036514835</c:v>
                </c:pt>
              </c:numCache>
            </c:numRef>
          </c:yVal>
          <c:smooth val="1"/>
        </c:ser>
        <c:ser>
          <c:idx val="2"/>
          <c:order val="2"/>
          <c:tx>
            <c:v>x1</c:v>
          </c:tx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GRAN_Method!$F$39:$F$40</c:f>
              <c:numCache>
                <c:formatCode>0.000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GRAN_Method!$G$39:$G$40</c:f>
              <c:numCache>
                <c:formatCode>General</c:formatCode>
                <c:ptCount val="2"/>
                <c:pt idx="0" formatCode="0.000000">
                  <c:v>0.648523237088205</c:v>
                </c:pt>
                <c:pt idx="1">
                  <c:v>0.0</c:v>
                </c:pt>
              </c:numCache>
            </c:numRef>
          </c:yVal>
          <c:smooth val="1"/>
        </c:ser>
        <c:ser>
          <c:idx val="3"/>
          <c:order val="3"/>
          <c:tx>
            <c:v>y1</c:v>
          </c:tx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GRAN_Method!$F$37:$F$38</c:f>
              <c:numCache>
                <c:formatCode>0.000</c:formatCode>
                <c:ptCount val="2"/>
                <c:pt idx="0" formatCode="General">
                  <c:v>0.0</c:v>
                </c:pt>
                <c:pt idx="1">
                  <c:v>0.5</c:v>
                </c:pt>
              </c:numCache>
            </c:numRef>
          </c:xVal>
          <c:yVal>
            <c:numRef>
              <c:f>GRAN_Method!$G$37:$G$38</c:f>
              <c:numCache>
                <c:formatCode>0.000000</c:formatCode>
                <c:ptCount val="2"/>
                <c:pt idx="0">
                  <c:v>0.648523237088205</c:v>
                </c:pt>
                <c:pt idx="1">
                  <c:v>0.648523237088205</c:v>
                </c:pt>
              </c:numCache>
            </c:numRef>
          </c:yVal>
          <c:smooth val="1"/>
        </c:ser>
        <c:ser>
          <c:idx val="4"/>
          <c:order val="4"/>
          <c:tx>
            <c:v>Dot1</c:v>
          </c:tx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GRAN_Method!$F$38</c:f>
              <c:numCache>
                <c:formatCode>0.000</c:formatCode>
                <c:ptCount val="1"/>
                <c:pt idx="0">
                  <c:v>0.5</c:v>
                </c:pt>
              </c:numCache>
            </c:numRef>
          </c:xVal>
          <c:yVal>
            <c:numRef>
              <c:f>GRAN_Method!$G$38</c:f>
              <c:numCache>
                <c:formatCode>0.000000</c:formatCode>
                <c:ptCount val="1"/>
                <c:pt idx="0">
                  <c:v>0.648523237088205</c:v>
                </c:pt>
              </c:numCache>
            </c:numRef>
          </c:yVal>
          <c:smooth val="1"/>
        </c:ser>
        <c:ser>
          <c:idx val="6"/>
          <c:order val="5"/>
          <c:tx>
            <c:v>y2</c:v>
          </c:tx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GRAN_Method!$F$37:$F$38</c:f>
              <c:numCache>
                <c:formatCode>0.000</c:formatCode>
                <c:ptCount val="2"/>
                <c:pt idx="0" formatCode="General">
                  <c:v>0.0</c:v>
                </c:pt>
                <c:pt idx="1">
                  <c:v>0.5</c:v>
                </c:pt>
              </c:numCache>
            </c:numRef>
          </c:xVal>
          <c:yVal>
            <c:numRef>
              <c:f>GRAN_Method!$H$37:$H$38</c:f>
              <c:numCache>
                <c:formatCode>0.000000</c:formatCode>
                <c:ptCount val="2"/>
                <c:pt idx="0">
                  <c:v>0.103215678851615</c:v>
                </c:pt>
                <c:pt idx="1">
                  <c:v>0.103215678851615</c:v>
                </c:pt>
              </c:numCache>
            </c:numRef>
          </c:yVal>
          <c:smooth val="1"/>
        </c:ser>
        <c:ser>
          <c:idx val="7"/>
          <c:order val="6"/>
          <c:tx>
            <c:v>Dot2</c:v>
          </c:tx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GRAN_Method!$F$38</c:f>
              <c:numCache>
                <c:formatCode>0.000</c:formatCode>
                <c:ptCount val="1"/>
                <c:pt idx="0">
                  <c:v>0.5</c:v>
                </c:pt>
              </c:numCache>
            </c:numRef>
          </c:xVal>
          <c:yVal>
            <c:numRef>
              <c:f>GRAN_Method!$H$38</c:f>
              <c:numCache>
                <c:formatCode>0.000000</c:formatCode>
                <c:ptCount val="1"/>
                <c:pt idx="0">
                  <c:v>0.103215678851615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045064"/>
        <c:axId val="989988360"/>
      </c:scatterChart>
      <c:valAx>
        <c:axId val="855045064"/>
        <c:scaling>
          <c:orientation val="minMax"/>
          <c:max val="1.0"/>
          <c:min val="0.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>
                    <a:latin typeface="Arial"/>
                    <a:cs typeface="Arial"/>
                  </a:defRPr>
                </a:pPr>
                <a:r>
                  <a:rPr lang="en-US" sz="1200">
                    <a:latin typeface="Arial"/>
                    <a:cs typeface="Arial"/>
                  </a:rPr>
                  <a:t>Ratio  b / a</a:t>
                </a:r>
              </a:p>
            </c:rich>
          </c:tx>
          <c:layout>
            <c:manualLayout>
              <c:xMode val="edge"/>
              <c:yMode val="edge"/>
              <c:x val="0.485508194981514"/>
              <c:y val="0.95544873393205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89988360"/>
        <c:crosses val="autoZero"/>
        <c:crossBetween val="midCat"/>
      </c:valAx>
      <c:valAx>
        <c:axId val="989988360"/>
        <c:scaling>
          <c:orientation val="minMax"/>
          <c:max val="1.0"/>
          <c:min val="0.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200">
                    <a:latin typeface="Arial"/>
                    <a:cs typeface="Arial"/>
                  </a:defRPr>
                </a:pPr>
                <a:r>
                  <a:rPr lang="en-US" sz="1200">
                    <a:latin typeface="Arial"/>
                    <a:cs typeface="Arial"/>
                  </a:rPr>
                  <a:t>X </a:t>
                </a:r>
                <a:r>
                  <a:rPr lang="en-US" sz="1200" baseline="-25000">
                    <a:latin typeface="Arial"/>
                    <a:cs typeface="Arial"/>
                  </a:rPr>
                  <a:t>factor  </a:t>
                </a:r>
                <a:r>
                  <a:rPr lang="en-US" sz="900" b="0">
                    <a:latin typeface="Arial"/>
                    <a:cs typeface="Arial"/>
                  </a:rPr>
                  <a:t>and </a:t>
                </a:r>
                <a:r>
                  <a:rPr lang="en-US" sz="1200">
                    <a:latin typeface="Arial"/>
                    <a:cs typeface="Arial"/>
                  </a:rPr>
                  <a:t> Y </a:t>
                </a:r>
                <a:r>
                  <a:rPr lang="en-US" sz="1200" baseline="-25000">
                    <a:latin typeface="Arial"/>
                    <a:cs typeface="Arial"/>
                  </a:rPr>
                  <a:t>factor</a:t>
                </a:r>
              </a:p>
            </c:rich>
          </c:tx>
          <c:layout>
            <c:manualLayout>
              <c:xMode val="edge"/>
              <c:yMode val="edge"/>
              <c:x val="0.0116563316918404"/>
              <c:y val="0.386883074114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855045064"/>
        <c:crosses val="autoZero"/>
        <c:crossBetween val="midCat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'3rd Order (Y_Factor)'!$C$34:$C$84</c:f>
              <c:numCache>
                <c:formatCode>0.00</c:formatCode>
                <c:ptCount val="51"/>
                <c:pt idx="0">
                  <c:v>0.001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</c:v>
                </c:pt>
                <c:pt idx="29">
                  <c:v>0.58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1.0</c:v>
                </c:pt>
              </c:numCache>
            </c:numRef>
          </c:xVal>
          <c:yVal>
            <c:numRef>
              <c:f>'3rd Order (Y_Factor)'!$D$34:$D$84</c:f>
              <c:numCache>
                <c:formatCode>0.00</c:formatCode>
                <c:ptCount val="51"/>
                <c:pt idx="0">
                  <c:v>0.00025</c:v>
                </c:pt>
                <c:pt idx="1">
                  <c:v>0.0049960068345586</c:v>
                </c:pt>
                <c:pt idx="2">
                  <c:v>0.00996789672983024</c:v>
                </c:pt>
                <c:pt idx="3">
                  <c:v>0.0149010694286103</c:v>
                </c:pt>
                <c:pt idx="4">
                  <c:v>0.0197838030292723</c:v>
                </c:pt>
                <c:pt idx="5">
                  <c:v>0.0246065893923092</c:v>
                </c:pt>
                <c:pt idx="6">
                  <c:v>0.0293616847503658</c:v>
                </c:pt>
                <c:pt idx="7">
                  <c:v>0.0340427913453599</c:v>
                </c:pt>
                <c:pt idx="8">
                  <c:v>0.0386448212064443</c:v>
                </c:pt>
                <c:pt idx="9">
                  <c:v>0.0431637133074077</c:v>
                </c:pt>
                <c:pt idx="10">
                  <c:v>0.0475962868758614</c:v>
                </c:pt>
                <c:pt idx="11">
                  <c:v>0.0519401202946619</c:v>
                </c:pt>
                <c:pt idx="12">
                  <c:v>0.0561934489379334</c:v>
                </c:pt>
                <c:pt idx="13">
                  <c:v>0.0603550776024642</c:v>
                </c:pt>
                <c:pt idx="14">
                  <c:v>0.0644243045985861</c:v>
                </c:pt>
                <c:pt idx="15">
                  <c:v>0.0684008554329368</c:v>
                </c:pt>
                <c:pt idx="16">
                  <c:v>0.0722848245665962</c:v>
                </c:pt>
                <c:pt idx="17">
                  <c:v>0.0760766240921371</c:v>
                </c:pt>
                <c:pt idx="18">
                  <c:v>0.0797769384160417</c:v>
                </c:pt>
                <c:pt idx="19">
                  <c:v>0.083386684202599</c:v>
                </c:pt>
                <c:pt idx="20">
                  <c:v>0.0869069749582334</c:v>
                </c:pt>
                <c:pt idx="21">
                  <c:v>0.0903390897274081</c:v>
                </c:pt>
                <c:pt idx="22">
                  <c:v>0.0936844454428366</c:v>
                </c:pt>
                <c:pt idx="23">
                  <c:v>0.0969445725300806</c:v>
                </c:pt>
                <c:pt idx="24">
                  <c:v>0.100121093413822</c:v>
                </c:pt>
                <c:pt idx="25">
                  <c:v>0.103215703612833</c:v>
                </c:pt>
                <c:pt idx="26">
                  <c:v>0.106230155144747</c:v>
                </c:pt>
                <c:pt idx="27">
                  <c:v>0.109166241991374</c:v>
                </c:pt>
                <c:pt idx="28">
                  <c:v>0.112025787401369</c:v>
                </c:pt>
                <c:pt idx="29">
                  <c:v>0.114810632830163</c:v>
                </c:pt>
                <c:pt idx="30">
                  <c:v>0.117522628337699</c:v>
                </c:pt>
                <c:pt idx="31">
                  <c:v>0.120163624282916</c:v>
                </c:pt>
                <c:pt idx="32">
                  <c:v>0.122735464170557</c:v>
                </c:pt>
                <c:pt idx="33">
                  <c:v>0.12523997852073</c:v>
                </c:pt>
                <c:pt idx="34">
                  <c:v>0.127678979645105</c:v>
                </c:pt>
                <c:pt idx="35">
                  <c:v>0.130054257225704</c:v>
                </c:pt>
                <c:pt idx="36">
                  <c:v>0.132367574603165</c:v>
                </c:pt>
                <c:pt idx="37">
                  <c:v>0.134620665691149</c:v>
                </c:pt>
                <c:pt idx="38">
                  <c:v>0.13681523244243</c:v>
                </c:pt>
                <c:pt idx="39">
                  <c:v>0.138952942800144</c:v>
                </c:pt>
                <c:pt idx="40">
                  <c:v>0.141035429074853</c:v>
                </c:pt>
                <c:pt idx="41">
                  <c:v>0.143064286694511</c:v>
                </c:pt>
                <c:pt idx="42">
                  <c:v>0.145041073280181</c:v>
                </c:pt>
                <c:pt idx="43">
                  <c:v>0.146967308005588</c:v>
                </c:pt>
                <c:pt idx="44">
                  <c:v>0.148844471203189</c:v>
                </c:pt>
                <c:pt idx="45">
                  <c:v>0.150674004183674</c:v>
                </c:pt>
                <c:pt idx="46">
                  <c:v>0.152457309239498</c:v>
                </c:pt>
                <c:pt idx="47">
                  <c:v>0.154195749806427</c:v>
                </c:pt>
                <c:pt idx="48">
                  <c:v>0.155890650760038</c:v>
                </c:pt>
                <c:pt idx="49">
                  <c:v>0.157543298826823</c:v>
                </c:pt>
                <c:pt idx="50">
                  <c:v>0.159154943091895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853208"/>
        <c:axId val="854885224"/>
      </c:scatterChart>
      <c:valAx>
        <c:axId val="990853208"/>
        <c:scaling>
          <c:orientation val="minMax"/>
          <c:max val="1.0"/>
        </c:scaling>
        <c:delete val="0"/>
        <c:axPos val="b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crossAx val="854885224"/>
        <c:crosses val="autoZero"/>
        <c:crossBetween val="midCat"/>
      </c:valAx>
      <c:valAx>
        <c:axId val="854885224"/>
        <c:scaling>
          <c:orientation val="minMax"/>
          <c:max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0853208"/>
        <c:crosses val="autoZero"/>
        <c:crossBetween val="midCat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'6th Order (Y_Factor)'!$C$34:$C$84</c:f>
              <c:numCache>
                <c:formatCode>0.00</c:formatCode>
                <c:ptCount val="51"/>
                <c:pt idx="0">
                  <c:v>0.001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</c:v>
                </c:pt>
                <c:pt idx="29">
                  <c:v>0.58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1.0</c:v>
                </c:pt>
              </c:numCache>
            </c:numRef>
          </c:xVal>
          <c:yVal>
            <c:numRef>
              <c:f>'6th Order (Y_Factor)'!$D$34:$D$84</c:f>
              <c:numCache>
                <c:formatCode>0.00</c:formatCode>
                <c:ptCount val="51"/>
                <c:pt idx="0">
                  <c:v>0.00025</c:v>
                </c:pt>
                <c:pt idx="1">
                  <c:v>0.0049960068345586</c:v>
                </c:pt>
                <c:pt idx="2">
                  <c:v>0.00996789672983024</c:v>
                </c:pt>
                <c:pt idx="3">
                  <c:v>0.0149010694286103</c:v>
                </c:pt>
                <c:pt idx="4">
                  <c:v>0.0197838030292723</c:v>
                </c:pt>
                <c:pt idx="5">
                  <c:v>0.0246065893923092</c:v>
                </c:pt>
                <c:pt idx="6">
                  <c:v>0.0293616847503658</c:v>
                </c:pt>
                <c:pt idx="7">
                  <c:v>0.0340427913453599</c:v>
                </c:pt>
                <c:pt idx="8">
                  <c:v>0.0386448212064443</c:v>
                </c:pt>
                <c:pt idx="9">
                  <c:v>0.0431637133074077</c:v>
                </c:pt>
                <c:pt idx="10">
                  <c:v>0.0475962868758614</c:v>
                </c:pt>
                <c:pt idx="11">
                  <c:v>0.0519401202946619</c:v>
                </c:pt>
                <c:pt idx="12">
                  <c:v>0.0561934489379334</c:v>
                </c:pt>
                <c:pt idx="13">
                  <c:v>0.0603550776024642</c:v>
                </c:pt>
                <c:pt idx="14">
                  <c:v>0.0644243045985861</c:v>
                </c:pt>
                <c:pt idx="15">
                  <c:v>0.0684008554329368</c:v>
                </c:pt>
                <c:pt idx="16">
                  <c:v>0.0722848245665962</c:v>
                </c:pt>
                <c:pt idx="17">
                  <c:v>0.0760766240921371</c:v>
                </c:pt>
                <c:pt idx="18">
                  <c:v>0.0797769384160417</c:v>
                </c:pt>
                <c:pt idx="19">
                  <c:v>0.083386684202599</c:v>
                </c:pt>
                <c:pt idx="20">
                  <c:v>0.0869069749582334</c:v>
                </c:pt>
                <c:pt idx="21">
                  <c:v>0.0903390897274081</c:v>
                </c:pt>
                <c:pt idx="22">
                  <c:v>0.0936844454428366</c:v>
                </c:pt>
                <c:pt idx="23">
                  <c:v>0.0969445725300806</c:v>
                </c:pt>
                <c:pt idx="24">
                  <c:v>0.100121093413822</c:v>
                </c:pt>
                <c:pt idx="25">
                  <c:v>0.103215703612833</c:v>
                </c:pt>
                <c:pt idx="26">
                  <c:v>0.106230155144747</c:v>
                </c:pt>
                <c:pt idx="27">
                  <c:v>0.109166241991374</c:v>
                </c:pt>
                <c:pt idx="28">
                  <c:v>0.112025787401369</c:v>
                </c:pt>
                <c:pt idx="29">
                  <c:v>0.114810632830163</c:v>
                </c:pt>
                <c:pt idx="30">
                  <c:v>0.117522628337699</c:v>
                </c:pt>
                <c:pt idx="31">
                  <c:v>0.120163624282916</c:v>
                </c:pt>
                <c:pt idx="32">
                  <c:v>0.122735464170557</c:v>
                </c:pt>
                <c:pt idx="33">
                  <c:v>0.12523997852073</c:v>
                </c:pt>
                <c:pt idx="34">
                  <c:v>0.127678979645105</c:v>
                </c:pt>
                <c:pt idx="35">
                  <c:v>0.130054257225704</c:v>
                </c:pt>
                <c:pt idx="36">
                  <c:v>0.132367574603165</c:v>
                </c:pt>
                <c:pt idx="37">
                  <c:v>0.134620665691149</c:v>
                </c:pt>
                <c:pt idx="38">
                  <c:v>0.13681523244243</c:v>
                </c:pt>
                <c:pt idx="39">
                  <c:v>0.138952942800144</c:v>
                </c:pt>
                <c:pt idx="40">
                  <c:v>0.141035429074853</c:v>
                </c:pt>
                <c:pt idx="41">
                  <c:v>0.143064286694511</c:v>
                </c:pt>
                <c:pt idx="42">
                  <c:v>0.145041073280181</c:v>
                </c:pt>
                <c:pt idx="43">
                  <c:v>0.146967308005588</c:v>
                </c:pt>
                <c:pt idx="44">
                  <c:v>0.148844471203189</c:v>
                </c:pt>
                <c:pt idx="45">
                  <c:v>0.150674004183674</c:v>
                </c:pt>
                <c:pt idx="46">
                  <c:v>0.152457309239498</c:v>
                </c:pt>
                <c:pt idx="47">
                  <c:v>0.154195749806427</c:v>
                </c:pt>
                <c:pt idx="48">
                  <c:v>0.155890650760038</c:v>
                </c:pt>
                <c:pt idx="49">
                  <c:v>0.157543298826823</c:v>
                </c:pt>
                <c:pt idx="50">
                  <c:v>0.159154943091895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403864"/>
        <c:axId val="990157992"/>
      </c:scatterChart>
      <c:valAx>
        <c:axId val="990403864"/>
        <c:scaling>
          <c:orientation val="minMax"/>
          <c:max val="1.0"/>
        </c:scaling>
        <c:delete val="0"/>
        <c:axPos val="b"/>
        <c:numFmt formatCode="0.00" sourceLinked="1"/>
        <c:majorTickMark val="out"/>
        <c:minorTickMark val="none"/>
        <c:tickLblPos val="nextTo"/>
        <c:crossAx val="990157992"/>
        <c:crosses val="autoZero"/>
        <c:crossBetween val="midCat"/>
      </c:valAx>
      <c:valAx>
        <c:axId val="990157992"/>
        <c:scaling>
          <c:orientation val="minMax"/>
          <c:max val="0.2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990403864"/>
        <c:crosses val="autoZero"/>
        <c:crossBetween val="midCat"/>
        <c:majorUnit val="0.02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4.emf"/><Relationship Id="rId3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Relationship Id="rId3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389313</xdr:colOff>
      <xdr:row>29</xdr:row>
      <xdr:rowOff>34637</xdr:rowOff>
    </xdr:from>
    <xdr:to>
      <xdr:col>12</xdr:col>
      <xdr:colOff>551873</xdr:colOff>
      <xdr:row>72</xdr:row>
      <xdr:rowOff>90055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215900</xdr:colOff>
          <xdr:row>1</xdr:row>
          <xdr:rowOff>165100</xdr:rowOff>
        </xdr:from>
        <xdr:to>
          <xdr:col>18</xdr:col>
          <xdr:colOff>546100</xdr:colOff>
          <xdr:row>5</xdr:row>
          <xdr:rowOff>12700</xdr:rowOff>
        </xdr:to>
        <xdr:sp macro="" textlink="">
          <xdr:nvSpPr>
            <xdr:cNvPr id="25602" name="Object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694115</xdr:colOff>
      <xdr:row>32</xdr:row>
      <xdr:rowOff>75847</xdr:rowOff>
    </xdr:from>
    <xdr:to>
      <xdr:col>12</xdr:col>
      <xdr:colOff>867297</xdr:colOff>
      <xdr:row>41</xdr:row>
      <xdr:rowOff>73600</xdr:rowOff>
    </xdr:to>
    <xdr:grpSp>
      <xdr:nvGrpSpPr>
        <xdr:cNvPr id="3" name="Group 2"/>
        <xdr:cNvGrpSpPr/>
      </xdr:nvGrpSpPr>
      <xdr:grpSpPr>
        <a:xfrm>
          <a:off x="3107115" y="6206483"/>
          <a:ext cx="8001000" cy="1694935"/>
          <a:chOff x="3107115" y="6218028"/>
          <a:chExt cx="8001000" cy="1660207"/>
        </a:xfrm>
      </xdr:grpSpPr>
      <xdr:sp macro="" textlink="">
        <xdr:nvSpPr>
          <xdr:cNvPr id="9" name="Oval 8"/>
          <xdr:cNvSpPr/>
        </xdr:nvSpPr>
        <xdr:spPr>
          <a:xfrm>
            <a:off x="4446148" y="6569934"/>
            <a:ext cx="995975" cy="181725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Oval 9"/>
          <xdr:cNvSpPr/>
        </xdr:nvSpPr>
        <xdr:spPr>
          <a:xfrm>
            <a:off x="10112140" y="6206483"/>
            <a:ext cx="995975" cy="908627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Oval 10"/>
          <xdr:cNvSpPr/>
        </xdr:nvSpPr>
        <xdr:spPr>
          <a:xfrm>
            <a:off x="7279144" y="6388208"/>
            <a:ext cx="995975" cy="545175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Oval 11"/>
          <xdr:cNvSpPr/>
        </xdr:nvSpPr>
        <xdr:spPr>
          <a:xfrm>
            <a:off x="5862646" y="6474060"/>
            <a:ext cx="995975" cy="373472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Oval 12"/>
          <xdr:cNvSpPr/>
        </xdr:nvSpPr>
        <xdr:spPr>
          <a:xfrm>
            <a:off x="3737899" y="7427042"/>
            <a:ext cx="995975" cy="90862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Oval 13"/>
          <xdr:cNvSpPr/>
        </xdr:nvSpPr>
        <xdr:spPr>
          <a:xfrm>
            <a:off x="5154397" y="7336180"/>
            <a:ext cx="995975" cy="272588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5" name="Oval 14"/>
          <xdr:cNvSpPr/>
        </xdr:nvSpPr>
        <xdr:spPr>
          <a:xfrm>
            <a:off x="8673509" y="6302357"/>
            <a:ext cx="995975" cy="71688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Oval 15"/>
          <xdr:cNvSpPr/>
        </xdr:nvSpPr>
        <xdr:spPr>
          <a:xfrm>
            <a:off x="6570895" y="7246569"/>
            <a:ext cx="995975" cy="451808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Oval 16"/>
          <xdr:cNvSpPr/>
        </xdr:nvSpPr>
        <xdr:spPr>
          <a:xfrm>
            <a:off x="3107115" y="6656254"/>
            <a:ext cx="995975" cy="9086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8" name="Oval 17"/>
          <xdr:cNvSpPr/>
        </xdr:nvSpPr>
        <xdr:spPr>
          <a:xfrm>
            <a:off x="9414958" y="7066621"/>
            <a:ext cx="995975" cy="811706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Oval 18"/>
          <xdr:cNvSpPr/>
        </xdr:nvSpPr>
        <xdr:spPr>
          <a:xfrm>
            <a:off x="7987393" y="7156810"/>
            <a:ext cx="995975" cy="631327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6</xdr:col>
      <xdr:colOff>1048305</xdr:colOff>
      <xdr:row>5</xdr:row>
      <xdr:rowOff>23093</xdr:rowOff>
    </xdr:from>
    <xdr:to>
      <xdr:col>11</xdr:col>
      <xdr:colOff>1131440</xdr:colOff>
      <xdr:row>9</xdr:row>
      <xdr:rowOff>34637</xdr:rowOff>
    </xdr:to>
    <xdr:sp macro="" textlink="">
      <xdr:nvSpPr>
        <xdr:cNvPr id="25686" name="Object 86" hidden="1">
          <a:extLst>
            <a:ext uri="{63B3BB69-23CF-44E3-9099-C40C66FF867C}">
              <a14:compatExt xmlns:a14="http://schemas.microsoft.com/office/drawing/2010/main" spid="_x0000_s2568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7</xdr:col>
      <xdr:colOff>15005</xdr:colOff>
      <xdr:row>5</xdr:row>
      <xdr:rowOff>36945</xdr:rowOff>
    </xdr:from>
    <xdr:to>
      <xdr:col>11</xdr:col>
      <xdr:colOff>1227278</xdr:colOff>
      <xdr:row>9</xdr:row>
      <xdr:rowOff>49645</xdr:rowOff>
    </xdr:to>
    <xdr:pic>
      <xdr:nvPicPr>
        <xdr:cNvPr id="5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096" y="1076036"/>
          <a:ext cx="4433455" cy="76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393700</xdr:colOff>
          <xdr:row>5</xdr:row>
          <xdr:rowOff>165100</xdr:rowOff>
        </xdr:from>
        <xdr:to>
          <xdr:col>20</xdr:col>
          <xdr:colOff>342900</xdr:colOff>
          <xdr:row>10</xdr:row>
          <xdr:rowOff>76200</xdr:rowOff>
        </xdr:to>
        <xdr:sp macro="" textlink="">
          <xdr:nvSpPr>
            <xdr:cNvPr id="25690" name="Object 90" hidden="1">
              <a:extLst>
                <a:ext uri="{63B3BB69-23CF-44E3-9099-C40C66FF867C}">
                  <a14:compatExt spid="_x0000_s25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13</xdr:col>
      <xdr:colOff>727367</xdr:colOff>
      <xdr:row>27</xdr:row>
      <xdr:rowOff>127000</xdr:rowOff>
    </xdr:from>
    <xdr:to>
      <xdr:col>22</xdr:col>
      <xdr:colOff>171084</xdr:colOff>
      <xdr:row>72</xdr:row>
      <xdr:rowOff>122844</xdr:rowOff>
    </xdr:to>
    <xdr:pic>
      <xdr:nvPicPr>
        <xdr:cNvPr id="6" name="Picture 5" descr="Screen Shot 2012-01-16 at 3.26.28 PM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8731" y="5276273"/>
          <a:ext cx="6232444" cy="84124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1054100</xdr:colOff>
          <xdr:row>10</xdr:row>
          <xdr:rowOff>101600</xdr:rowOff>
        </xdr:from>
        <xdr:to>
          <xdr:col>9</xdr:col>
          <xdr:colOff>38100</xdr:colOff>
          <xdr:row>13</xdr:row>
          <xdr:rowOff>63500</xdr:rowOff>
        </xdr:to>
        <xdr:sp macro="" textlink="">
          <xdr:nvSpPr>
            <xdr:cNvPr id="25711" name="Object 111" hidden="1">
              <a:extLst>
                <a:ext uri="{63B3BB69-23CF-44E3-9099-C40C66FF867C}">
                  <a14:compatExt spid="_x0000_s25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1048305</xdr:colOff>
      <xdr:row>116</xdr:row>
      <xdr:rowOff>23093</xdr:rowOff>
    </xdr:from>
    <xdr:to>
      <xdr:col>11</xdr:col>
      <xdr:colOff>1131440</xdr:colOff>
      <xdr:row>120</xdr:row>
      <xdr:rowOff>69273</xdr:rowOff>
    </xdr:to>
    <xdr:sp macro="" textlink="">
      <xdr:nvSpPr>
        <xdr:cNvPr id="25" name="Object 86" hidden="1">
          <a:extLst>
            <a:ext uri="{63B3BB69-23CF-44E3-9099-C40C66FF867C}">
              <a14:compatExt xmlns:a14="http://schemas.microsoft.com/office/drawing/2010/main" spid="_x0000_s25686"/>
            </a:ext>
          </a:extLst>
        </xdr:cNvPr>
        <xdr:cNvSpPr/>
      </xdr:nvSpPr>
      <xdr:spPr>
        <a:xfrm>
          <a:off x="5654941" y="1062184"/>
          <a:ext cx="4435772" cy="761998"/>
        </a:xfrm>
        <a:prstGeom prst="rect">
          <a:avLst/>
        </a:prstGeom>
      </xdr:spPr>
    </xdr:sp>
    <xdr:clientData/>
  </xdr:twoCellAnchor>
  <xdr:twoCellAnchor editAs="oneCell">
    <xdr:from>
      <xdr:col>7</xdr:col>
      <xdr:colOff>15005</xdr:colOff>
      <xdr:row>116</xdr:row>
      <xdr:rowOff>36945</xdr:rowOff>
    </xdr:from>
    <xdr:to>
      <xdr:col>11</xdr:col>
      <xdr:colOff>1227278</xdr:colOff>
      <xdr:row>120</xdr:row>
      <xdr:rowOff>84281</xdr:rowOff>
    </xdr:to>
    <xdr:pic>
      <xdr:nvPicPr>
        <xdr:cNvPr id="26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096" y="1076036"/>
          <a:ext cx="4433455" cy="76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1054100</xdr:colOff>
          <xdr:row>121</xdr:row>
          <xdr:rowOff>101600</xdr:rowOff>
        </xdr:from>
        <xdr:to>
          <xdr:col>9</xdr:col>
          <xdr:colOff>38100</xdr:colOff>
          <xdr:row>124</xdr:row>
          <xdr:rowOff>114300</xdr:rowOff>
        </xdr:to>
        <xdr:sp macro="" textlink="">
          <xdr:nvSpPr>
            <xdr:cNvPr id="25733" name="Object 133" hidden="1">
              <a:extLst>
                <a:ext uri="{63B3BB69-23CF-44E3-9099-C40C66FF867C}">
                  <a14:compatExt spid="_x0000_s25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7</xdr:row>
      <xdr:rowOff>57149</xdr:rowOff>
    </xdr:from>
    <xdr:to>
      <xdr:col>14</xdr:col>
      <xdr:colOff>863600</xdr:colOff>
      <xdr:row>22</xdr:row>
      <xdr:rowOff>158749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7</xdr:row>
      <xdr:rowOff>82548</xdr:rowOff>
    </xdr:from>
    <xdr:to>
      <xdr:col>14</xdr:col>
      <xdr:colOff>812800</xdr:colOff>
      <xdr:row>26</xdr:row>
      <xdr:rowOff>139699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quation1.bin"/><Relationship Id="rId4" Type="http://schemas.openxmlformats.org/officeDocument/2006/relationships/image" Target="../media/image1.emf"/><Relationship Id="rId5" Type="http://schemas.openxmlformats.org/officeDocument/2006/relationships/oleObject" Target="../embeddings/Microsoft_Equation2.bin"/><Relationship Id="rId6" Type="http://schemas.openxmlformats.org/officeDocument/2006/relationships/image" Target="../media/image2.emf"/><Relationship Id="rId7" Type="http://schemas.openxmlformats.org/officeDocument/2006/relationships/oleObject" Target="../embeddings/Microsoft_Equation3.bin"/><Relationship Id="rId8" Type="http://schemas.openxmlformats.org/officeDocument/2006/relationships/image" Target="../media/image3.emf"/><Relationship Id="rId9" Type="http://schemas.openxmlformats.org/officeDocument/2006/relationships/oleObject" Target="../embeddings/Microsoft_Equation4.bin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253"/>
  <sheetViews>
    <sheetView tabSelected="1" showRuler="0" zoomScale="110" zoomScaleNormal="110" zoomScalePageLayoutView="110" workbookViewId="0">
      <selection activeCell="C13" sqref="C13"/>
    </sheetView>
  </sheetViews>
  <sheetFormatPr baseColWidth="10" defaultRowHeight="14" x14ac:dyDescent="0"/>
  <cols>
    <col min="1" max="1" width="9.83203125" style="168" customWidth="1"/>
    <col min="2" max="2" width="10.83203125" style="168"/>
    <col min="3" max="3" width="10.83203125" style="168" customWidth="1"/>
    <col min="4" max="4" width="10.83203125" style="168"/>
    <col min="5" max="5" width="8" style="168" customWidth="1"/>
    <col min="6" max="6" width="9.83203125" style="168" customWidth="1"/>
    <col min="7" max="7" width="14.83203125" style="168" customWidth="1"/>
    <col min="8" max="8" width="17.83203125" style="168" customWidth="1"/>
    <col min="9" max="9" width="3.83203125" style="168" customWidth="1"/>
    <col min="10" max="10" width="16.83203125" style="168" customWidth="1"/>
    <col min="11" max="11" width="3.83203125" style="211" customWidth="1"/>
    <col min="12" max="12" width="16.83203125" style="168" customWidth="1"/>
    <col min="13" max="14" width="11.83203125" style="168" customWidth="1"/>
    <col min="15" max="15" width="8.6640625" style="168" customWidth="1"/>
    <col min="16" max="16" width="10.6640625" style="168" customWidth="1"/>
    <col min="17" max="17" width="11" style="168" customWidth="1"/>
    <col min="18" max="18" width="5.83203125" style="168" customWidth="1"/>
    <col min="19" max="19" width="8.6640625" style="168" customWidth="1"/>
    <col min="20" max="20" width="10.83203125" style="168"/>
    <col min="21" max="21" width="10.6640625" style="168" customWidth="1"/>
    <col min="22" max="25" width="10.83203125" style="168"/>
    <col min="26" max="26" width="13" style="168" customWidth="1"/>
    <col min="27" max="27" width="11.6640625" style="168" customWidth="1"/>
    <col min="28" max="28" width="5.83203125" style="168" customWidth="1"/>
    <col min="29" max="29" width="10.83203125" style="168"/>
    <col min="30" max="30" width="12.83203125" style="168" customWidth="1"/>
    <col min="31" max="31" width="11.6640625" style="229" customWidth="1"/>
    <col min="32" max="33" width="10.83203125" style="229"/>
    <col min="34" max="34" width="10.83203125" style="168"/>
    <col min="35" max="35" width="12.6640625" style="168" customWidth="1"/>
    <col min="36" max="37" width="10.83203125" style="168" customWidth="1"/>
    <col min="38" max="38" width="18.83203125" style="168" customWidth="1"/>
    <col min="39" max="39" width="13.83203125" style="168" customWidth="1"/>
    <col min="40" max="40" width="18.33203125" style="168" customWidth="1"/>
    <col min="41" max="41" width="18.6640625" style="168" customWidth="1"/>
    <col min="42" max="42" width="20.1640625" style="168" customWidth="1"/>
    <col min="43" max="43" width="13" style="168" customWidth="1"/>
    <col min="44" max="44" width="15.33203125" style="168" customWidth="1"/>
    <col min="45" max="45" width="11.83203125" style="168" customWidth="1"/>
    <col min="46" max="46" width="10.83203125" style="168"/>
    <col min="47" max="47" width="13.33203125" style="168" customWidth="1"/>
    <col min="48" max="48" width="14.6640625" style="168" customWidth="1"/>
    <col min="49" max="56" width="10.83203125" style="168" customWidth="1"/>
    <col min="57" max="57" width="10.83203125" style="168"/>
    <col min="58" max="58" width="11.83203125" style="168" customWidth="1"/>
    <col min="59" max="16384" width="10.83203125" style="168"/>
  </cols>
  <sheetData>
    <row r="1" spans="1:64" ht="26" customHeight="1">
      <c r="A1" s="134" t="s">
        <v>99</v>
      </c>
      <c r="B1" s="13"/>
      <c r="C1" s="133"/>
      <c r="D1" s="133"/>
      <c r="E1" s="133"/>
      <c r="F1" s="133"/>
      <c r="G1" s="133"/>
      <c r="H1" s="133"/>
      <c r="I1" s="133"/>
      <c r="J1" s="135"/>
      <c r="K1" s="135"/>
      <c r="L1" s="251" t="s">
        <v>12</v>
      </c>
      <c r="M1" s="252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35"/>
      <c r="BH1" s="135"/>
      <c r="BI1" s="135"/>
      <c r="BJ1" s="135"/>
      <c r="BK1" s="135"/>
      <c r="BL1" s="135"/>
    </row>
    <row r="2" spans="1:64" ht="14" customHeight="1">
      <c r="A2" s="13"/>
      <c r="B2" s="13"/>
      <c r="C2" s="133"/>
      <c r="D2" s="133"/>
      <c r="E2" s="133"/>
      <c r="F2" s="133"/>
      <c r="G2" s="133"/>
      <c r="H2" s="133"/>
      <c r="I2" s="133"/>
      <c r="J2" s="135"/>
      <c r="K2" s="135"/>
      <c r="L2" s="253" t="s">
        <v>18</v>
      </c>
      <c r="M2" s="248"/>
      <c r="N2" s="135"/>
      <c r="O2" s="216" t="s">
        <v>104</v>
      </c>
      <c r="P2" s="180"/>
      <c r="Q2" s="180"/>
      <c r="R2" s="180"/>
      <c r="S2" s="180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35"/>
      <c r="BH2" s="135"/>
      <c r="BI2" s="135"/>
      <c r="BJ2" s="135"/>
      <c r="BK2" s="135"/>
      <c r="BL2" s="135"/>
    </row>
    <row r="3" spans="1:64" ht="14" customHeight="1">
      <c r="A3" s="136" t="s">
        <v>124</v>
      </c>
      <c r="B3" s="13"/>
      <c r="C3" s="133"/>
      <c r="D3" s="133"/>
      <c r="E3" s="133"/>
      <c r="F3" s="133"/>
      <c r="G3" s="133"/>
      <c r="H3" s="133"/>
      <c r="I3" s="133"/>
      <c r="J3" s="135"/>
      <c r="K3" s="135"/>
      <c r="L3" s="254" t="s">
        <v>20</v>
      </c>
      <c r="M3" s="255"/>
      <c r="N3" s="135"/>
      <c r="O3" s="180"/>
      <c r="P3" s="176"/>
      <c r="Q3" s="176"/>
      <c r="R3" s="176"/>
      <c r="S3" s="180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35"/>
      <c r="BH3" s="135"/>
      <c r="BI3" s="135"/>
      <c r="BJ3" s="135"/>
      <c r="BK3" s="135"/>
      <c r="BL3" s="135"/>
    </row>
    <row r="4" spans="1:64" ht="13" customHeight="1">
      <c r="A4" s="136"/>
      <c r="B4" s="13"/>
      <c r="C4" s="133"/>
      <c r="D4" s="133"/>
      <c r="E4" s="133"/>
      <c r="F4" s="133"/>
      <c r="G4" s="133"/>
      <c r="H4" s="133"/>
      <c r="I4" s="133"/>
      <c r="J4" s="135"/>
      <c r="K4" s="135"/>
      <c r="L4" s="256" t="s">
        <v>105</v>
      </c>
      <c r="M4" s="248"/>
      <c r="N4" s="135"/>
      <c r="O4" s="180"/>
      <c r="P4" s="180"/>
      <c r="Q4" s="180"/>
      <c r="R4" s="176"/>
      <c r="S4" s="180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35"/>
      <c r="BH4" s="135"/>
      <c r="BI4" s="135"/>
      <c r="BJ4" s="135"/>
      <c r="BK4" s="135"/>
      <c r="BL4" s="135"/>
    </row>
    <row r="5" spans="1:64" ht="15">
      <c r="A5" s="136"/>
      <c r="B5" s="1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35"/>
      <c r="BH5" s="135"/>
      <c r="BI5" s="135"/>
      <c r="BJ5" s="135"/>
      <c r="BK5" s="135"/>
      <c r="BL5" s="135"/>
    </row>
    <row r="6" spans="1:64" ht="16" thickBot="1">
      <c r="A6" s="13"/>
      <c r="B6" s="13"/>
      <c r="C6" s="133"/>
      <c r="D6" s="133"/>
      <c r="E6" s="137"/>
      <c r="F6" s="133"/>
      <c r="G6" s="133"/>
      <c r="H6" s="133"/>
      <c r="I6" s="133"/>
      <c r="J6" s="133"/>
      <c r="K6" s="133"/>
      <c r="L6" s="133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35"/>
      <c r="BH6" s="135"/>
      <c r="BI6" s="135"/>
      <c r="BJ6" s="135"/>
      <c r="BK6" s="135"/>
      <c r="BL6" s="135"/>
    </row>
    <row r="7" spans="1:64">
      <c r="A7" s="13"/>
      <c r="B7" s="261" t="s">
        <v>101</v>
      </c>
      <c r="C7" s="262"/>
      <c r="D7" s="133"/>
      <c r="E7" s="247" t="s">
        <v>98</v>
      </c>
      <c r="F7" s="248"/>
      <c r="G7" s="248"/>
      <c r="H7" s="133"/>
      <c r="I7" s="133"/>
      <c r="J7" s="133"/>
      <c r="K7" s="133"/>
      <c r="L7" s="133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35"/>
      <c r="BH7" s="135"/>
      <c r="BI7" s="135"/>
      <c r="BJ7" s="135"/>
      <c r="BK7" s="135"/>
      <c r="BL7" s="135"/>
    </row>
    <row r="8" spans="1:64" ht="15" thickBot="1">
      <c r="A8" s="13"/>
      <c r="B8" s="263"/>
      <c r="C8" s="264"/>
      <c r="D8" s="133"/>
      <c r="E8" s="248"/>
      <c r="F8" s="248"/>
      <c r="G8" s="248"/>
      <c r="H8" s="133"/>
      <c r="I8" s="133"/>
      <c r="J8" s="133"/>
      <c r="K8" s="133"/>
      <c r="L8" s="133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35"/>
      <c r="BH8" s="135"/>
      <c r="BI8" s="135"/>
      <c r="BJ8" s="135"/>
      <c r="BK8" s="135"/>
      <c r="BL8" s="135"/>
    </row>
    <row r="9" spans="1:64">
      <c r="A9" s="13"/>
      <c r="B9" s="1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35"/>
      <c r="BH9" s="135"/>
      <c r="BI9" s="135"/>
      <c r="BJ9" s="135"/>
      <c r="BK9" s="135"/>
      <c r="BL9" s="135"/>
    </row>
    <row r="10" spans="1:64" ht="15">
      <c r="A10" s="13"/>
      <c r="B10" s="133"/>
      <c r="C10" s="133"/>
      <c r="D10" s="133"/>
      <c r="E10" s="137"/>
      <c r="F10" s="133"/>
      <c r="G10" s="133"/>
      <c r="H10" s="133"/>
      <c r="I10" s="133"/>
      <c r="J10" s="133"/>
      <c r="K10" s="133"/>
      <c r="L10" s="133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35"/>
      <c r="BH10" s="135"/>
      <c r="BI10" s="135"/>
      <c r="BJ10" s="135"/>
      <c r="BK10" s="135"/>
      <c r="BL10" s="135"/>
    </row>
    <row r="11" spans="1:64" ht="15">
      <c r="A11" s="13"/>
      <c r="B11" s="171" t="s">
        <v>136</v>
      </c>
      <c r="C11" s="135"/>
      <c r="D11" s="135"/>
      <c r="E11" s="135"/>
      <c r="F11" s="135"/>
      <c r="G11" s="141"/>
      <c r="H11" s="135"/>
      <c r="I11" s="197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35"/>
      <c r="BH11" s="135"/>
      <c r="BI11" s="135"/>
      <c r="BJ11" s="135"/>
      <c r="BK11" s="135"/>
      <c r="BL11" s="135"/>
    </row>
    <row r="12" spans="1:64" ht="16" thickBot="1">
      <c r="A12" s="13"/>
      <c r="B12" s="135"/>
      <c r="C12" s="135"/>
      <c r="D12" s="135"/>
      <c r="E12" s="238" t="s">
        <v>4</v>
      </c>
      <c r="F12" s="244" t="s">
        <v>140</v>
      </c>
      <c r="G12" s="244" t="s">
        <v>141</v>
      </c>
      <c r="H12" s="213"/>
      <c r="I12" s="249"/>
      <c r="J12" s="238" t="s">
        <v>5</v>
      </c>
      <c r="K12" s="210"/>
      <c r="L12" s="238" t="s">
        <v>61</v>
      </c>
      <c r="M12" s="135"/>
      <c r="N12" s="135"/>
      <c r="O12" s="153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35"/>
      <c r="BH12" s="135"/>
      <c r="BI12" s="135"/>
      <c r="BJ12" s="135"/>
      <c r="BK12" s="135"/>
      <c r="BL12" s="135"/>
    </row>
    <row r="13" spans="1:64" ht="16" thickBot="1">
      <c r="A13" s="13"/>
      <c r="B13" s="218" t="s">
        <v>0</v>
      </c>
      <c r="C13" s="219">
        <v>10</v>
      </c>
      <c r="D13" s="138" t="s">
        <v>1</v>
      </c>
      <c r="E13" s="245"/>
      <c r="F13" s="245"/>
      <c r="G13" s="246"/>
      <c r="H13" s="214"/>
      <c r="I13" s="250"/>
      <c r="J13" s="239"/>
      <c r="K13" s="212"/>
      <c r="L13" s="239"/>
      <c r="M13" s="135"/>
      <c r="N13" s="135"/>
      <c r="O13" s="204" t="s">
        <v>11</v>
      </c>
      <c r="P13" s="204" t="s">
        <v>12</v>
      </c>
      <c r="Q13" s="204" t="s">
        <v>12</v>
      </c>
      <c r="R13" s="198"/>
      <c r="S13" s="204" t="s">
        <v>11</v>
      </c>
      <c r="T13" s="204" t="s">
        <v>12</v>
      </c>
      <c r="U13" s="204" t="s">
        <v>12</v>
      </c>
      <c r="V13" s="135"/>
      <c r="W13" s="135"/>
      <c r="X13" s="135"/>
      <c r="Y13" s="204" t="s">
        <v>11</v>
      </c>
      <c r="Z13" s="204" t="s">
        <v>12</v>
      </c>
      <c r="AA13" s="204" t="s">
        <v>12</v>
      </c>
      <c r="AB13" s="198"/>
      <c r="AC13" s="204" t="s">
        <v>11</v>
      </c>
      <c r="AD13" s="204" t="s">
        <v>12</v>
      </c>
      <c r="AE13" s="204" t="s">
        <v>12</v>
      </c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35"/>
      <c r="BH13" s="135"/>
      <c r="BI13" s="135"/>
      <c r="BJ13" s="135"/>
      <c r="BK13" s="135"/>
      <c r="BL13" s="135"/>
    </row>
    <row r="14" spans="1:64">
      <c r="A14" s="13"/>
      <c r="B14" s="13"/>
      <c r="C14" s="13"/>
      <c r="D14" s="138"/>
      <c r="E14" s="135"/>
      <c r="F14" s="172"/>
      <c r="G14" s="172"/>
      <c r="H14" s="135"/>
      <c r="I14" s="135"/>
      <c r="J14" s="135"/>
      <c r="K14" s="135"/>
      <c r="L14" s="135"/>
      <c r="M14" s="135"/>
      <c r="N14" s="135"/>
      <c r="O14" s="204" t="s">
        <v>9</v>
      </c>
      <c r="P14" s="204" t="s">
        <v>86</v>
      </c>
      <c r="Q14" s="204" t="s">
        <v>88</v>
      </c>
      <c r="R14" s="198"/>
      <c r="S14" s="204" t="s">
        <v>9</v>
      </c>
      <c r="T14" s="204" t="s">
        <v>86</v>
      </c>
      <c r="U14" s="204" t="s">
        <v>88</v>
      </c>
      <c r="V14" s="135"/>
      <c r="W14" s="135"/>
      <c r="X14" s="135"/>
      <c r="Y14" s="204" t="s">
        <v>9</v>
      </c>
      <c r="Z14" s="204" t="s">
        <v>86</v>
      </c>
      <c r="AA14" s="204" t="s">
        <v>88</v>
      </c>
      <c r="AB14" s="198"/>
      <c r="AC14" s="204" t="s">
        <v>9</v>
      </c>
      <c r="AD14" s="204" t="s">
        <v>86</v>
      </c>
      <c r="AE14" s="204" t="s">
        <v>88</v>
      </c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"/>
      <c r="AV14" s="2"/>
      <c r="AW14" s="2"/>
      <c r="AX14" s="2"/>
      <c r="AY14" s="2"/>
      <c r="AZ14" s="2"/>
      <c r="BA14" s="2"/>
      <c r="BB14" s="2"/>
      <c r="BC14" s="2"/>
      <c r="BD14" s="2"/>
      <c r="BE14" s="1"/>
      <c r="BF14" s="1"/>
      <c r="BG14" s="135"/>
      <c r="BH14" s="135"/>
      <c r="BI14" s="135"/>
      <c r="BJ14" s="135"/>
      <c r="BK14" s="135"/>
      <c r="BL14" s="135"/>
    </row>
    <row r="15" spans="1:64">
      <c r="A15" s="13"/>
      <c r="B15" s="13"/>
      <c r="C15" s="13"/>
      <c r="D15" s="138"/>
      <c r="E15" s="173"/>
      <c r="F15" s="199"/>
      <c r="G15" s="199"/>
      <c r="H15" s="200">
        <f>AP147</f>
        <v>1</v>
      </c>
      <c r="I15" s="200"/>
      <c r="J15" s="174">
        <f>SUM(H$15:H15)</f>
        <v>1</v>
      </c>
      <c r="K15" s="174"/>
      <c r="L15" s="175">
        <f>PI()*($C$13+$C$18)*J15</f>
        <v>47.123889803846893</v>
      </c>
      <c r="M15" s="135"/>
      <c r="N15" s="135"/>
      <c r="O15" s="205"/>
      <c r="P15" s="135"/>
      <c r="Q15" s="135"/>
      <c r="R15" s="176"/>
      <c r="S15" s="180"/>
      <c r="T15" s="135"/>
      <c r="U15" s="135"/>
      <c r="V15" s="135"/>
      <c r="W15" s="135"/>
      <c r="X15" s="135"/>
      <c r="Y15" s="205"/>
      <c r="Z15" s="135"/>
      <c r="AA15" s="135"/>
      <c r="AB15" s="176"/>
      <c r="AC15" s="180"/>
      <c r="AD15" s="135"/>
      <c r="AE15" s="135"/>
      <c r="AF15" s="135"/>
      <c r="AG15" s="135"/>
      <c r="AH15" s="135"/>
      <c r="AI15" s="2"/>
      <c r="AJ15" s="2"/>
      <c r="AK15" s="2"/>
      <c r="AL15" s="2"/>
      <c r="AM15" s="2"/>
      <c r="AN15" s="2"/>
      <c r="AO15" s="2"/>
      <c r="AP15" s="2"/>
      <c r="AQ15" s="2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</row>
    <row r="16" spans="1:64" ht="16">
      <c r="A16" s="13"/>
      <c r="B16" s="171" t="s">
        <v>137</v>
      </c>
      <c r="C16" s="135"/>
      <c r="D16" s="135"/>
      <c r="E16" s="198">
        <f t="shared" ref="E16:E25" si="0">AO148</f>
        <v>1</v>
      </c>
      <c r="F16" s="199">
        <f>E16-1</f>
        <v>0</v>
      </c>
      <c r="G16" s="199">
        <f>(2*E16-2)</f>
        <v>0</v>
      </c>
      <c r="H16" s="201">
        <f>((FACT(G16)/(FACT(E16)*FACT(F16)*2^(2*E16-1)))^2)*C$32^(E16)</f>
        <v>2.7777777777777776E-2</v>
      </c>
      <c r="I16" s="201"/>
      <c r="J16" s="177">
        <f>SUM(H$15:H16)</f>
        <v>1.0277777777777777</v>
      </c>
      <c r="K16" s="177"/>
      <c r="L16" s="175">
        <f>PI()*($C$13+$C$18)*J16</f>
        <v>48.432886742842634</v>
      </c>
      <c r="M16" s="135"/>
      <c r="N16" s="135"/>
      <c r="O16" s="181">
        <v>0.05</v>
      </c>
      <c r="P16" s="206">
        <v>7.8160238582978506E-2</v>
      </c>
      <c r="Q16" s="206">
        <f t="shared" ref="Q16:Q25" si="1">P16/(2*PI())</f>
        <v>1.2439588323722908E-2</v>
      </c>
      <c r="R16" s="176"/>
      <c r="S16" s="181">
        <v>0.55000000000000004</v>
      </c>
      <c r="T16" s="206">
        <v>0.69495464887074399</v>
      </c>
      <c r="U16" s="206">
        <f t="shared" ref="U16:U25" si="2">T16/(2*PI())</f>
        <v>0.11060546759247136</v>
      </c>
      <c r="V16" s="135"/>
      <c r="W16" s="135"/>
      <c r="X16" s="135"/>
      <c r="Y16" s="181">
        <v>0.01</v>
      </c>
      <c r="Z16" s="230">
        <v>1.5703652063052902E-2</v>
      </c>
      <c r="AA16" s="230">
        <f t="shared" ref="AA16:AA65" si="3">Z16/(2*PI())</f>
        <v>2.4993138504301095E-3</v>
      </c>
      <c r="AB16" s="176"/>
      <c r="AC16" s="181">
        <v>0.51</v>
      </c>
      <c r="AD16" s="230">
        <v>0.65805582836405696</v>
      </c>
      <c r="AE16" s="230">
        <f t="shared" ref="AE16:AE65" si="4">AD16/(2*PI())</f>
        <v>0.10473283791457154</v>
      </c>
      <c r="AF16" s="2"/>
      <c r="AG16" s="2"/>
      <c r="AH16" s="152" t="s">
        <v>33</v>
      </c>
      <c r="AI16" s="153" t="s">
        <v>114</v>
      </c>
      <c r="AJ16" s="153" t="s">
        <v>115</v>
      </c>
      <c r="AK16" s="153" t="s">
        <v>116</v>
      </c>
      <c r="AL16" s="153" t="s">
        <v>117</v>
      </c>
      <c r="AM16" s="153" t="s">
        <v>118</v>
      </c>
      <c r="AN16" s="153" t="s">
        <v>119</v>
      </c>
      <c r="AO16" s="153" t="s">
        <v>120</v>
      </c>
      <c r="AP16" s="153" t="s">
        <v>121</v>
      </c>
      <c r="AQ16" s="153" t="s">
        <v>122</v>
      </c>
      <c r="AR16" s="153"/>
      <c r="AS16" s="152" t="s">
        <v>88</v>
      </c>
      <c r="AT16" s="154"/>
      <c r="AU16" s="155" t="s">
        <v>33</v>
      </c>
      <c r="AV16" s="156" t="s">
        <v>114</v>
      </c>
      <c r="AW16" s="156" t="s">
        <v>115</v>
      </c>
      <c r="AX16" s="156" t="s">
        <v>116</v>
      </c>
      <c r="AY16" s="156" t="s">
        <v>117</v>
      </c>
      <c r="AZ16" s="156" t="s">
        <v>118</v>
      </c>
      <c r="BA16" s="156" t="s">
        <v>119</v>
      </c>
      <c r="BB16" s="156" t="s">
        <v>120</v>
      </c>
      <c r="BC16" s="156" t="s">
        <v>121</v>
      </c>
      <c r="BD16" s="156" t="s">
        <v>122</v>
      </c>
      <c r="BE16" s="157"/>
      <c r="BF16" s="155" t="s">
        <v>86</v>
      </c>
      <c r="BG16" s="135"/>
      <c r="BH16" s="135"/>
      <c r="BI16" s="135"/>
      <c r="BJ16" s="135"/>
      <c r="BK16" s="135"/>
      <c r="BL16" s="135"/>
    </row>
    <row r="17" spans="1:64" ht="15" thickBot="1">
      <c r="A17" s="13"/>
      <c r="B17" s="135"/>
      <c r="C17" s="135"/>
      <c r="D17" s="133"/>
      <c r="E17" s="198">
        <f t="shared" si="0"/>
        <v>2</v>
      </c>
      <c r="F17" s="199">
        <f>E17-1</f>
        <v>1</v>
      </c>
      <c r="G17" s="199">
        <f t="shared" ref="G17:G23" si="5">(2*E17-2)</f>
        <v>2</v>
      </c>
      <c r="H17" s="201">
        <f t="shared" ref="H17:H25" si="6">((FACT(G17)/(FACT(E17)*FACT(F17)*2^(2*E17-1)))^2)*C$32^(E17)</f>
        <v>1.9290123456790122E-4</v>
      </c>
      <c r="I17" s="201"/>
      <c r="J17" s="177">
        <f>SUM(H$15:H17)</f>
        <v>1.0279706790123455</v>
      </c>
      <c r="K17" s="177"/>
      <c r="L17" s="175">
        <f t="shared" ref="L17:L25" si="7">PI()*($C$13+$C$18)*J17</f>
        <v>48.441976999363433</v>
      </c>
      <c r="M17" s="135"/>
      <c r="N17" s="135"/>
      <c r="O17" s="181">
        <v>0.1</v>
      </c>
      <c r="P17" s="206">
        <v>0.15460691994415199</v>
      </c>
      <c r="Q17" s="206">
        <f t="shared" si="1"/>
        <v>2.4606455545324729E-2</v>
      </c>
      <c r="R17" s="176"/>
      <c r="S17" s="181">
        <v>0.6</v>
      </c>
      <c r="T17" s="206">
        <v>0.73841645163255698</v>
      </c>
      <c r="U17" s="206">
        <f t="shared" si="2"/>
        <v>0.1175226283376989</v>
      </c>
      <c r="V17" s="135"/>
      <c r="W17" s="135"/>
      <c r="X17" s="135"/>
      <c r="Y17" s="181">
        <v>0.02</v>
      </c>
      <c r="Z17" s="230">
        <v>3.1385802788492401E-2</v>
      </c>
      <c r="AA17" s="230">
        <f t="shared" si="3"/>
        <v>4.995205656695958E-3</v>
      </c>
      <c r="AB17" s="176"/>
      <c r="AC17" s="181">
        <v>0.52</v>
      </c>
      <c r="AD17" s="230">
        <v>0.66746374998479896</v>
      </c>
      <c r="AE17" s="230">
        <f t="shared" si="4"/>
        <v>0.10623015514473375</v>
      </c>
      <c r="AF17" s="2"/>
      <c r="AG17" s="2"/>
      <c r="AH17" s="152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4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6"/>
      <c r="BG17" s="135"/>
      <c r="BH17" s="135"/>
      <c r="BI17" s="135"/>
      <c r="BJ17" s="135"/>
      <c r="BK17" s="135"/>
      <c r="BL17" s="135"/>
    </row>
    <row r="18" spans="1:64" ht="15" thickBot="1">
      <c r="A18" s="13"/>
      <c r="B18" s="218" t="s">
        <v>2</v>
      </c>
      <c r="C18" s="219">
        <v>5</v>
      </c>
      <c r="D18" s="138" t="s">
        <v>1</v>
      </c>
      <c r="E18" s="198">
        <f t="shared" si="0"/>
        <v>3</v>
      </c>
      <c r="F18" s="199">
        <f t="shared" ref="F18:F23" si="8">E18-1</f>
        <v>2</v>
      </c>
      <c r="G18" s="199">
        <f t="shared" si="5"/>
        <v>4</v>
      </c>
      <c r="H18" s="201">
        <f t="shared" si="6"/>
        <v>5.358367626886145E-6</v>
      </c>
      <c r="I18" s="201"/>
      <c r="J18" s="177">
        <f>SUM(H$15:H18)</f>
        <v>1.0279760373799725</v>
      </c>
      <c r="K18" s="177"/>
      <c r="L18" s="175">
        <f t="shared" si="7"/>
        <v>48.442229506489014</v>
      </c>
      <c r="M18" s="135"/>
      <c r="N18" s="135"/>
      <c r="O18" s="181">
        <v>0.15</v>
      </c>
      <c r="P18" s="206">
        <v>0.228418537819569</v>
      </c>
      <c r="Q18" s="206">
        <f t="shared" si="1"/>
        <v>3.6353939387807448E-2</v>
      </c>
      <c r="R18" s="176"/>
      <c r="S18" s="181">
        <v>0.65</v>
      </c>
      <c r="T18" s="206">
        <v>0.77908999165989401</v>
      </c>
      <c r="U18" s="206">
        <f t="shared" si="2"/>
        <v>0.12399602328609564</v>
      </c>
      <c r="V18" s="135"/>
      <c r="W18" s="135"/>
      <c r="X18" s="135"/>
      <c r="Y18" s="181">
        <v>0.03</v>
      </c>
      <c r="Z18" s="230">
        <v>4.70308926860004E-2</v>
      </c>
      <c r="AA18" s="230">
        <f t="shared" si="3"/>
        <v>7.4851990490014302E-3</v>
      </c>
      <c r="AB18" s="176"/>
      <c r="AC18" s="181">
        <v>0.53</v>
      </c>
      <c r="AD18" s="230">
        <v>0.67674857379251097</v>
      </c>
      <c r="AE18" s="230">
        <f t="shared" si="4"/>
        <v>0.10770788074946842</v>
      </c>
      <c r="AF18" s="2"/>
      <c r="AG18" s="2"/>
      <c r="AH18" s="158">
        <v>1E-3</v>
      </c>
      <c r="AI18" s="159">
        <f>(1/2)*(3*AH18^2-1)</f>
        <v>-0.49999850000000001</v>
      </c>
      <c r="AJ18" s="159">
        <f>(1/2)*(5*AH18^3-3*AH18)</f>
        <v>-1.4999975E-3</v>
      </c>
      <c r="AK18" s="159">
        <f>(1/8)*(35*AH18^4-30*AH18^2+3)</f>
        <v>0.37499625000437498</v>
      </c>
      <c r="AL18" s="159">
        <f>(1/8)*(63*AH18^5-70*AH18^3+15*AH18)</f>
        <v>1.874991250007875E-3</v>
      </c>
      <c r="AM18" s="159">
        <f>(1/16)*(231*AH18^6-315*AH18^4+105*AH18^2-5)</f>
        <v>-0.3124934375196875</v>
      </c>
      <c r="AN18" s="159">
        <f>(1/16)*(429*AH18^7-693*AH18^5+315*AH18^3-35*AH18)</f>
        <v>-2.1874803125433127E-3</v>
      </c>
      <c r="AO18" s="159">
        <f>(1/128)*(6435*AH18^8-12012*AH18^6+6930*AH18^4-1260*AH18^2+35)</f>
        <v>0.27342765630414051</v>
      </c>
      <c r="AP18" s="159">
        <f>(1/128)*(12155*AH18^9-25740*AH18^7+18018*AH18^5-4620*AH18^3+315*AH18)</f>
        <v>2.4609014063907654E-3</v>
      </c>
      <c r="AQ18" s="159">
        <f>(1/256)*(46189*AH18^10-109395*AH18^8+90090*AH18^6-30030*AH18^4+3465*AH18^2-63)</f>
        <v>-0.24608021496105434</v>
      </c>
      <c r="AR18" s="153"/>
      <c r="AS18" s="160">
        <f t="shared" ref="AS18:AS68" si="9">O$43+O$44*AH18+O$45*AI18+O$46*AJ18+O$47*AK18+O$48*AL18+O$49*AM18+O$50*AN18+O$51*AO18+O$52*AP18+O$53*AQ18</f>
        <v>2.49879348900409E-4</v>
      </c>
      <c r="AT18" s="154"/>
      <c r="AU18" s="155">
        <v>1E-3</v>
      </c>
      <c r="AV18" s="159">
        <f t="shared" ref="AV18:AV68" si="10">(1/2)*(3*$AU18^2-1)</f>
        <v>-0.49999850000000001</v>
      </c>
      <c r="AW18" s="159">
        <f t="shared" ref="AW18:AW68" si="11">(1/2)*(5*$AU18^3-3*$AU18)</f>
        <v>-1.4999975E-3</v>
      </c>
      <c r="AX18" s="159">
        <f t="shared" ref="AX18:AX68" si="12">(1/8)*(35*$AU18^4-30*$AU18^2+3)</f>
        <v>0.37499625000437498</v>
      </c>
      <c r="AY18" s="159">
        <f t="shared" ref="AY18:AY68" si="13">(1/8)*(63*$AU18^5-70*$AU18^3+15*$AU18)</f>
        <v>1.874991250007875E-3</v>
      </c>
      <c r="AZ18" s="159">
        <f t="shared" ref="AZ18:AZ68" si="14">(1/16)*(231*$AU18^6-315*$AU18^4+105*$AU18^2-5)</f>
        <v>-0.3124934375196875</v>
      </c>
      <c r="BA18" s="159">
        <f t="shared" ref="BA18:BA68" si="15">(1/16)*(429*$AU18^7-693*$AU18^5+315*$AU18^3-35*$AU18)</f>
        <v>-2.1874803125433127E-3</v>
      </c>
      <c r="BB18" s="159">
        <f t="shared" ref="BB18:BB68" si="16">(1/128)*(6435*$AU18^8-12012*$AU18^6+6930*$AU18^4-1260*$AU18^2+35)</f>
        <v>0.27342765630414051</v>
      </c>
      <c r="BC18" s="159">
        <f t="shared" ref="BC18:BC68" si="17">(1/128)*(12155*$AU18^9-25740*$AU18^7+18018*$AU18^5-4620*$AU18^3+315*$AU18)</f>
        <v>2.4609014063907654E-3</v>
      </c>
      <c r="BD18" s="159">
        <f t="shared" ref="BD18:BD68" si="18">(1/256)*(46189*$AU18^10-109395*$AU18^8+90090*$AU18^6-30030*$AU18^4+3465*$AU18^2-63)</f>
        <v>-0.24608021496105434</v>
      </c>
      <c r="BE18" s="157"/>
      <c r="BF18" s="161">
        <f t="shared" ref="BF18:BF68" si="19">$N$43+$N$44*$AU18+$N$45*$AV18+$N$46*$AW18+$N$47*$AX18+$N$48*$AY18+$N$49*$AZ18+$N$50*$BA18+$N$51*$BB18+$N$52*$BC18+$N$53*$BD18</f>
        <v>1.5700378974130673E-3</v>
      </c>
      <c r="BG18" s="135"/>
      <c r="BH18" s="135"/>
      <c r="BI18" s="135"/>
      <c r="BJ18" s="135"/>
      <c r="BK18" s="135"/>
      <c r="BL18" s="135"/>
    </row>
    <row r="19" spans="1:64">
      <c r="A19" s="13"/>
      <c r="B19" s="135"/>
      <c r="C19" s="135"/>
      <c r="D19" s="133"/>
      <c r="E19" s="198">
        <f t="shared" si="0"/>
        <v>4</v>
      </c>
      <c r="F19" s="199">
        <f t="shared" si="8"/>
        <v>3</v>
      </c>
      <c r="G19" s="199">
        <f t="shared" si="5"/>
        <v>6</v>
      </c>
      <c r="H19" s="201">
        <f t="shared" si="6"/>
        <v>2.325680393613778E-7</v>
      </c>
      <c r="I19" s="201"/>
      <c r="J19" s="177">
        <f>SUM(H$15:H19)</f>
        <v>1.0279762699480117</v>
      </c>
      <c r="K19" s="177"/>
      <c r="L19" s="175">
        <f t="shared" si="7"/>
        <v>48.442240465999674</v>
      </c>
      <c r="M19" s="135"/>
      <c r="N19" s="139"/>
      <c r="O19" s="181">
        <v>0.2</v>
      </c>
      <c r="P19" s="206">
        <v>0.29905625832017402</v>
      </c>
      <c r="Q19" s="206">
        <f t="shared" si="1"/>
        <v>4.7596281774222447E-2</v>
      </c>
      <c r="R19" s="176"/>
      <c r="S19" s="181">
        <v>0.7</v>
      </c>
      <c r="T19" s="206">
        <v>0.81715499813669701</v>
      </c>
      <c r="U19" s="206">
        <f t="shared" si="2"/>
        <v>0.13005425722570385</v>
      </c>
      <c r="V19" s="135"/>
      <c r="W19" s="135"/>
      <c r="X19" s="135"/>
      <c r="Y19" s="181">
        <v>0.04</v>
      </c>
      <c r="Z19" s="230">
        <v>6.2626074545850299E-2</v>
      </c>
      <c r="AA19" s="230">
        <f t="shared" si="3"/>
        <v>9.9672493304136002E-3</v>
      </c>
      <c r="AB19" s="176"/>
      <c r="AC19" s="181">
        <v>0.54</v>
      </c>
      <c r="AD19" s="230">
        <v>0.68591172772018205</v>
      </c>
      <c r="AE19" s="230">
        <f t="shared" si="4"/>
        <v>0.10916624199136919</v>
      </c>
      <c r="AF19" s="2"/>
      <c r="AG19" s="2"/>
      <c r="AH19" s="162">
        <v>0.02</v>
      </c>
      <c r="AI19" s="159">
        <f t="shared" ref="AI19:AI68" si="20">(1/2)*(3*AH19^2-1)</f>
        <v>-0.49940000000000001</v>
      </c>
      <c r="AJ19" s="159">
        <f t="shared" ref="AJ19:AJ68" si="21">(1/2)*(5*AH19^3-3*AH19)</f>
        <v>-2.998E-2</v>
      </c>
      <c r="AK19" s="159">
        <f t="shared" ref="AK19:AK68" si="22">(1/8)*(35*AH19^4-30*AH19^2+3)</f>
        <v>0.37350070000000002</v>
      </c>
      <c r="AL19" s="159">
        <f t="shared" ref="AL19:AL68" si="23">(1/8)*(63*AH19^5-70*AH19^3+15*AH19)</f>
        <v>3.7430025200000001E-2</v>
      </c>
      <c r="AM19" s="159">
        <f t="shared" ref="AM19:AM68" si="24">(1/16)*(231*AH19^6-315*AH19^4+105*AH19^2-5)</f>
        <v>-0.30987814907599998</v>
      </c>
      <c r="AN19" s="159">
        <f t="shared" ref="AN19:AN68" si="25">(1/16)*(429*AH19^7-693*AH19^5+315*AH19^3-35*AH19)</f>
        <v>-4.3592638565680006E-2</v>
      </c>
      <c r="AO19" s="159">
        <f t="shared" ref="AO19:AO68" si="26">(1/128)*(6435*AH19^8-12012*AH19^6+6930*AH19^4-1260*AH19^2+35)</f>
        <v>0.26950865649528699</v>
      </c>
      <c r="AP19" s="159">
        <f t="shared" ref="AP19:AP68" si="27">(1/128)*(12155*AH19^9-25740*AH19^7+18018*AH19^5-4620*AH19^3+315*AH19)</f>
        <v>4.893045019264862E-2</v>
      </c>
      <c r="AQ19" s="159">
        <f t="shared" ref="AQ19:AQ68" si="28">(1/256)*(46189*AH19^10-109395*AH19^8+90090*AH19^6-30030*AH19^4+3465*AH19^2-63)</f>
        <v>-0.24069843373843766</v>
      </c>
      <c r="AR19" s="153"/>
      <c r="AS19" s="160">
        <f t="shared" si="9"/>
        <v>4.9962186592706426E-3</v>
      </c>
      <c r="AT19" s="154"/>
      <c r="AU19" s="163">
        <v>0.02</v>
      </c>
      <c r="AV19" s="159">
        <f t="shared" si="10"/>
        <v>-0.49940000000000001</v>
      </c>
      <c r="AW19" s="159">
        <f t="shared" si="11"/>
        <v>-2.998E-2</v>
      </c>
      <c r="AX19" s="159">
        <f t="shared" si="12"/>
        <v>0.37350070000000002</v>
      </c>
      <c r="AY19" s="159">
        <f t="shared" si="13"/>
        <v>3.7430025200000001E-2</v>
      </c>
      <c r="AZ19" s="159">
        <f t="shared" si="14"/>
        <v>-0.30987814907599998</v>
      </c>
      <c r="BA19" s="159">
        <f t="shared" si="15"/>
        <v>-4.3592638565680006E-2</v>
      </c>
      <c r="BB19" s="159">
        <f t="shared" si="16"/>
        <v>0.26950865649528699</v>
      </c>
      <c r="BC19" s="159">
        <f t="shared" si="17"/>
        <v>4.893045019264862E-2</v>
      </c>
      <c r="BD19" s="159">
        <f t="shared" si="18"/>
        <v>-0.24069843373843766</v>
      </c>
      <c r="BE19" s="157"/>
      <c r="BF19" s="161">
        <f t="shared" si="19"/>
        <v>3.1392166620743282E-2</v>
      </c>
      <c r="BG19" s="135"/>
      <c r="BH19" s="135"/>
      <c r="BI19" s="135"/>
      <c r="BJ19" s="135"/>
      <c r="BK19" s="135"/>
      <c r="BL19" s="135"/>
    </row>
    <row r="20" spans="1:64">
      <c r="A20" s="13"/>
      <c r="B20" s="135"/>
      <c r="C20" s="135"/>
      <c r="D20" s="133"/>
      <c r="E20" s="198">
        <f t="shared" si="0"/>
        <v>5</v>
      </c>
      <c r="F20" s="199">
        <f t="shared" si="8"/>
        <v>4</v>
      </c>
      <c r="G20" s="199">
        <f t="shared" si="5"/>
        <v>8</v>
      </c>
      <c r="H20" s="201">
        <f t="shared" si="6"/>
        <v>1.2662037698563902E-8</v>
      </c>
      <c r="I20" s="201"/>
      <c r="J20" s="177">
        <f>SUM(H$15:H20)</f>
        <v>1.0279762826100494</v>
      </c>
      <c r="K20" s="177"/>
      <c r="L20" s="175">
        <f t="shared" si="7"/>
        <v>48.44224106268414</v>
      </c>
      <c r="M20" s="135"/>
      <c r="N20" s="135"/>
      <c r="O20" s="181">
        <v>0.25</v>
      </c>
      <c r="P20" s="206">
        <v>0.36622035333910302</v>
      </c>
      <c r="Q20" s="206">
        <f t="shared" si="1"/>
        <v>5.8285779494778749E-2</v>
      </c>
      <c r="R20" s="176"/>
      <c r="S20" s="181">
        <v>0.75</v>
      </c>
      <c r="T20" s="206">
        <v>0.85278632826378198</v>
      </c>
      <c r="U20" s="206">
        <f t="shared" si="2"/>
        <v>0.13572515954436859</v>
      </c>
      <c r="V20" s="135"/>
      <c r="W20" s="135"/>
      <c r="X20" s="135"/>
      <c r="Y20" s="181">
        <v>0.05</v>
      </c>
      <c r="Z20" s="230">
        <v>7.8160238582978506E-2</v>
      </c>
      <c r="AA20" s="230">
        <f t="shared" si="3"/>
        <v>1.2439588323722908E-2</v>
      </c>
      <c r="AB20" s="176"/>
      <c r="AC20" s="181">
        <v>0.55000000000000004</v>
      </c>
      <c r="AD20" s="230">
        <v>0.69495464887074399</v>
      </c>
      <c r="AE20" s="230">
        <f t="shared" si="4"/>
        <v>0.11060546759247136</v>
      </c>
      <c r="AF20" s="2"/>
      <c r="AG20" s="2"/>
      <c r="AH20" s="162">
        <v>0.04</v>
      </c>
      <c r="AI20" s="159">
        <f t="shared" si="20"/>
        <v>-0.49759999999999999</v>
      </c>
      <c r="AJ20" s="159">
        <f t="shared" si="21"/>
        <v>-5.9839999999999997E-2</v>
      </c>
      <c r="AK20" s="159">
        <f t="shared" si="22"/>
        <v>0.36901119999999998</v>
      </c>
      <c r="AL20" s="159">
        <f t="shared" si="23"/>
        <v>7.4440806400000004E-2</v>
      </c>
      <c r="AM20" s="159">
        <f t="shared" si="24"/>
        <v>-0.30205034086400001</v>
      </c>
      <c r="AN20" s="159">
        <f t="shared" si="25"/>
        <v>-8.6244430807040001E-2</v>
      </c>
      <c r="AO20" s="159">
        <f t="shared" si="26"/>
        <v>0.25782571594547199</v>
      </c>
      <c r="AP20" s="159">
        <f t="shared" si="27"/>
        <v>9.6141881477693439E-2</v>
      </c>
      <c r="AQ20" s="159">
        <f t="shared" si="28"/>
        <v>-0.2247363613586201</v>
      </c>
      <c r="AR20" s="153"/>
      <c r="AS20" s="160">
        <f t="shared" si="9"/>
        <v>9.9679703374357855E-3</v>
      </c>
      <c r="AT20" s="154"/>
      <c r="AU20" s="163">
        <v>0.04</v>
      </c>
      <c r="AV20" s="159">
        <f t="shared" si="10"/>
        <v>-0.49759999999999999</v>
      </c>
      <c r="AW20" s="159">
        <f t="shared" si="11"/>
        <v>-5.9839999999999997E-2</v>
      </c>
      <c r="AX20" s="159">
        <f t="shared" si="12"/>
        <v>0.36901119999999998</v>
      </c>
      <c r="AY20" s="159">
        <f t="shared" si="13"/>
        <v>7.4440806400000004E-2</v>
      </c>
      <c r="AZ20" s="159">
        <f t="shared" si="14"/>
        <v>-0.30205034086400001</v>
      </c>
      <c r="BA20" s="159">
        <f t="shared" si="15"/>
        <v>-8.6244430807040001E-2</v>
      </c>
      <c r="BB20" s="159">
        <f t="shared" si="16"/>
        <v>0.25782571594547199</v>
      </c>
      <c r="BC20" s="159">
        <f t="shared" si="17"/>
        <v>9.6141881477693439E-2</v>
      </c>
      <c r="BD20" s="159">
        <f t="shared" si="18"/>
        <v>-0.2247363613586201</v>
      </c>
      <c r="BE20" s="157"/>
      <c r="BF20" s="161">
        <f t="shared" si="19"/>
        <v>6.2630604253484559E-2</v>
      </c>
      <c r="BG20" s="135"/>
      <c r="BH20" s="135"/>
      <c r="BI20" s="135"/>
      <c r="BJ20" s="135"/>
      <c r="BK20" s="135"/>
      <c r="BL20" s="135"/>
    </row>
    <row r="21" spans="1:64">
      <c r="A21" s="133"/>
      <c r="B21" s="135"/>
      <c r="C21" s="135"/>
      <c r="D21" s="135"/>
      <c r="E21" s="198">
        <f t="shared" si="0"/>
        <v>6</v>
      </c>
      <c r="F21" s="199">
        <f t="shared" si="8"/>
        <v>5</v>
      </c>
      <c r="G21" s="199">
        <f t="shared" si="5"/>
        <v>10</v>
      </c>
      <c r="H21" s="201">
        <f t="shared" si="6"/>
        <v>7.9137735616024387E-10</v>
      </c>
      <c r="I21" s="201"/>
      <c r="J21" s="177">
        <f>SUM(H$15:H21)</f>
        <v>1.0279762834014268</v>
      </c>
      <c r="K21" s="177"/>
      <c r="L21" s="175">
        <f t="shared" si="7"/>
        <v>48.442241099976918</v>
      </c>
      <c r="M21" s="135"/>
      <c r="N21" s="135"/>
      <c r="O21" s="181">
        <v>0.3</v>
      </c>
      <c r="P21" s="206">
        <v>0.42977524898023001</v>
      </c>
      <c r="Q21" s="206">
        <f t="shared" si="1"/>
        <v>6.8400855293753657E-2</v>
      </c>
      <c r="R21" s="176"/>
      <c r="S21" s="181">
        <v>0.8</v>
      </c>
      <c r="T21" s="206">
        <v>0.88615173575488604</v>
      </c>
      <c r="U21" s="206">
        <f t="shared" si="2"/>
        <v>0.14103542907485317</v>
      </c>
      <c r="V21" s="135"/>
      <c r="W21" s="135"/>
      <c r="X21" s="135"/>
      <c r="Y21" s="181">
        <v>0.06</v>
      </c>
      <c r="Z21" s="230">
        <v>9.3623585697336198E-2</v>
      </c>
      <c r="AA21" s="230">
        <f t="shared" si="3"/>
        <v>1.4900656453718729E-2</v>
      </c>
      <c r="AB21" s="176"/>
      <c r="AC21" s="181">
        <v>0.56000000000000005</v>
      </c>
      <c r="AD21" s="230">
        <v>0.70387878142549198</v>
      </c>
      <c r="AE21" s="230">
        <f t="shared" si="4"/>
        <v>0.11202578740136682</v>
      </c>
      <c r="AF21" s="2"/>
      <c r="AG21" s="2"/>
      <c r="AH21" s="162">
        <v>0.06</v>
      </c>
      <c r="AI21" s="159">
        <f t="shared" si="20"/>
        <v>-0.49459999999999998</v>
      </c>
      <c r="AJ21" s="159">
        <f t="shared" si="21"/>
        <v>-8.9459999999999998E-2</v>
      </c>
      <c r="AK21" s="159">
        <f t="shared" si="22"/>
        <v>0.36155670000000001</v>
      </c>
      <c r="AL21" s="159">
        <f t="shared" si="23"/>
        <v>0.11061612359999999</v>
      </c>
      <c r="AM21" s="159">
        <f t="shared" si="24"/>
        <v>-0.289129476404</v>
      </c>
      <c r="AN21" s="159">
        <f t="shared" si="25"/>
        <v>-0.12703110474216001</v>
      </c>
      <c r="AO21" s="159">
        <f t="shared" si="26"/>
        <v>0.23869729257000699</v>
      </c>
      <c r="AP21" s="159">
        <f t="shared" si="27"/>
        <v>0.13996889737318746</v>
      </c>
      <c r="AQ21" s="159">
        <f t="shared" si="28"/>
        <v>-0.19887110901246294</v>
      </c>
      <c r="AR21" s="153"/>
      <c r="AS21" s="160">
        <f t="shared" si="9"/>
        <v>1.4900975330299333E-2</v>
      </c>
      <c r="AT21" s="154"/>
      <c r="AU21" s="163">
        <v>0.06</v>
      </c>
      <c r="AV21" s="159">
        <f t="shared" si="10"/>
        <v>-0.49459999999999998</v>
      </c>
      <c r="AW21" s="159">
        <f t="shared" si="11"/>
        <v>-8.9459999999999998E-2</v>
      </c>
      <c r="AX21" s="159">
        <f t="shared" si="12"/>
        <v>0.36155670000000001</v>
      </c>
      <c r="AY21" s="159">
        <f t="shared" si="13"/>
        <v>0.11061612359999999</v>
      </c>
      <c r="AZ21" s="159">
        <f t="shared" si="14"/>
        <v>-0.289129476404</v>
      </c>
      <c r="BA21" s="159">
        <f t="shared" si="15"/>
        <v>-0.12703110474216001</v>
      </c>
      <c r="BB21" s="159">
        <f t="shared" si="16"/>
        <v>0.23869729257000699</v>
      </c>
      <c r="BC21" s="159">
        <f t="shared" si="17"/>
        <v>0.13996889737318746</v>
      </c>
      <c r="BD21" s="159">
        <f t="shared" si="18"/>
        <v>-0.19887110901246294</v>
      </c>
      <c r="BE21" s="157"/>
      <c r="BF21" s="161">
        <f t="shared" si="19"/>
        <v>9.3625589600204978E-2</v>
      </c>
      <c r="BG21" s="135"/>
      <c r="BH21" s="135"/>
      <c r="BI21" s="135"/>
      <c r="BJ21" s="135"/>
      <c r="BK21" s="135"/>
      <c r="BL21" s="135"/>
    </row>
    <row r="22" spans="1:64">
      <c r="A22" s="133"/>
      <c r="B22" s="135"/>
      <c r="C22" s="135"/>
      <c r="D22" s="135"/>
      <c r="E22" s="198">
        <f t="shared" si="0"/>
        <v>7</v>
      </c>
      <c r="F22" s="199">
        <f t="shared" si="8"/>
        <v>6</v>
      </c>
      <c r="G22" s="199">
        <f t="shared" si="5"/>
        <v>12</v>
      </c>
      <c r="H22" s="201">
        <f t="shared" si="6"/>
        <v>5.4283820915753685E-11</v>
      </c>
      <c r="I22" s="201"/>
      <c r="J22" s="177">
        <f>SUM(H$15:H22)</f>
        <v>1.0279762834557107</v>
      </c>
      <c r="K22" s="177"/>
      <c r="L22" s="175">
        <f t="shared" si="7"/>
        <v>48.442241102534986</v>
      </c>
      <c r="M22" s="135"/>
      <c r="N22" s="135"/>
      <c r="O22" s="181">
        <v>0.35</v>
      </c>
      <c r="P22" s="206">
        <v>0.48969993068094397</v>
      </c>
      <c r="Q22" s="206">
        <f t="shared" si="1"/>
        <v>7.7938164599630738E-2</v>
      </c>
      <c r="R22" s="176"/>
      <c r="S22" s="181">
        <v>0.85</v>
      </c>
      <c r="T22" s="206">
        <v>0.91741050170781802</v>
      </c>
      <c r="U22" s="206">
        <f t="shared" si="2"/>
        <v>0.14601041619121494</v>
      </c>
      <c r="V22" s="135"/>
      <c r="W22" s="135"/>
      <c r="X22" s="135"/>
      <c r="Y22" s="181">
        <v>7.0000000000000007E-2</v>
      </c>
      <c r="Z22" s="230">
        <v>0.109007380497295</v>
      </c>
      <c r="AA22" s="230">
        <f t="shared" si="3"/>
        <v>1.7349063439643566E-2</v>
      </c>
      <c r="AB22" s="135"/>
      <c r="AC22" s="181">
        <v>0.56999999999999995</v>
      </c>
      <c r="AD22" s="230">
        <v>0.71268557469529403</v>
      </c>
      <c r="AE22" s="230">
        <f t="shared" si="4"/>
        <v>0.11342743208304425</v>
      </c>
      <c r="AF22" s="2"/>
      <c r="AG22" s="2"/>
      <c r="AH22" s="162">
        <v>0.08</v>
      </c>
      <c r="AI22" s="159">
        <f t="shared" si="20"/>
        <v>-0.4904</v>
      </c>
      <c r="AJ22" s="159">
        <f t="shared" si="21"/>
        <v>-0.11871999999999999</v>
      </c>
      <c r="AK22" s="159">
        <f t="shared" si="22"/>
        <v>0.35117920000000002</v>
      </c>
      <c r="AL22" s="159">
        <f t="shared" si="23"/>
        <v>0.14554580479999998</v>
      </c>
      <c r="AM22" s="159">
        <f t="shared" si="24"/>
        <v>-0.27130261529599997</v>
      </c>
      <c r="AN22" s="159">
        <f t="shared" si="25"/>
        <v>-0.16506136410112002</v>
      </c>
      <c r="AO22" s="159">
        <f t="shared" si="26"/>
        <v>0.21263058376883198</v>
      </c>
      <c r="AP22" s="159">
        <f t="shared" si="27"/>
        <v>0.17885205630384127</v>
      </c>
      <c r="AQ22" s="159">
        <f t="shared" si="28"/>
        <v>-0.16418201283376493</v>
      </c>
      <c r="AR22" s="153"/>
      <c r="AS22" s="160">
        <f t="shared" si="9"/>
        <v>1.978366145303315E-2</v>
      </c>
      <c r="AT22" s="154"/>
      <c r="AU22" s="163">
        <v>0.08</v>
      </c>
      <c r="AV22" s="159">
        <f t="shared" si="10"/>
        <v>-0.4904</v>
      </c>
      <c r="AW22" s="159">
        <f t="shared" si="11"/>
        <v>-0.11871999999999999</v>
      </c>
      <c r="AX22" s="159">
        <f t="shared" si="12"/>
        <v>0.35117920000000002</v>
      </c>
      <c r="AY22" s="159">
        <f t="shared" si="13"/>
        <v>0.14554580479999998</v>
      </c>
      <c r="AZ22" s="159">
        <f t="shared" si="14"/>
        <v>-0.27130261529599997</v>
      </c>
      <c r="BA22" s="159">
        <f t="shared" si="15"/>
        <v>-0.16506136410112002</v>
      </c>
      <c r="BB22" s="159">
        <f t="shared" si="16"/>
        <v>0.21263058376883198</v>
      </c>
      <c r="BC22" s="159">
        <f t="shared" si="17"/>
        <v>0.17885205630384127</v>
      </c>
      <c r="BD22" s="159">
        <f t="shared" si="18"/>
        <v>-0.16418201283376493</v>
      </c>
      <c r="BE22" s="157"/>
      <c r="BF22" s="161">
        <f t="shared" si="19"/>
        <v>0.12430441199062722</v>
      </c>
      <c r="BG22" s="135"/>
      <c r="BH22" s="135"/>
      <c r="BI22" s="135"/>
      <c r="BJ22" s="135"/>
      <c r="BK22" s="135"/>
      <c r="BL22" s="135"/>
    </row>
    <row r="23" spans="1:64">
      <c r="A23" s="140"/>
      <c r="B23" s="257" t="s">
        <v>102</v>
      </c>
      <c r="C23" s="258"/>
      <c r="D23" s="135"/>
      <c r="E23" s="198">
        <f t="shared" si="0"/>
        <v>8</v>
      </c>
      <c r="F23" s="199">
        <f t="shared" si="8"/>
        <v>7</v>
      </c>
      <c r="G23" s="199">
        <f t="shared" si="5"/>
        <v>14</v>
      </c>
      <c r="H23" s="201">
        <f t="shared" si="6"/>
        <v>3.981755961268391E-12</v>
      </c>
      <c r="I23" s="201"/>
      <c r="J23" s="177">
        <f>SUM(H$15:H23)</f>
        <v>1.0279762834596924</v>
      </c>
      <c r="K23" s="177"/>
      <c r="L23" s="175">
        <f t="shared" si="7"/>
        <v>48.442241102722619</v>
      </c>
      <c r="M23" s="135"/>
      <c r="N23" s="151"/>
      <c r="O23" s="181">
        <v>0.4</v>
      </c>
      <c r="P23" s="206">
        <v>0.54605262813194599</v>
      </c>
      <c r="Q23" s="206">
        <f t="shared" si="1"/>
        <v>8.6906974955519758E-2</v>
      </c>
      <c r="R23" s="176"/>
      <c r="S23" s="181">
        <v>0.9</v>
      </c>
      <c r="T23" s="206">
        <v>0.94671268926077401</v>
      </c>
      <c r="U23" s="206">
        <f t="shared" si="2"/>
        <v>0.15067400418367369</v>
      </c>
      <c r="V23" s="135"/>
      <c r="W23" s="135"/>
      <c r="X23" s="135"/>
      <c r="Y23" s="181">
        <v>0.08</v>
      </c>
      <c r="Z23" s="230">
        <v>0.124303787695941</v>
      </c>
      <c r="AA23" s="230">
        <f t="shared" si="3"/>
        <v>1.9783562256854528E-2</v>
      </c>
      <c r="AB23" s="135"/>
      <c r="AC23" s="181">
        <v>0.57999999999999996</v>
      </c>
      <c r="AD23" s="230">
        <v>0.72137648130646903</v>
      </c>
      <c r="AE23" s="230">
        <f t="shared" si="4"/>
        <v>0.11481063283016278</v>
      </c>
      <c r="AF23" s="2"/>
      <c r="AG23" s="2"/>
      <c r="AH23" s="162">
        <v>0.1</v>
      </c>
      <c r="AI23" s="159">
        <f t="shared" si="20"/>
        <v>-0.48499999999999999</v>
      </c>
      <c r="AJ23" s="159">
        <f t="shared" si="21"/>
        <v>-0.14750000000000002</v>
      </c>
      <c r="AK23" s="159">
        <f t="shared" si="22"/>
        <v>0.3379375</v>
      </c>
      <c r="AL23" s="159">
        <f t="shared" si="23"/>
        <v>0.17882875000000001</v>
      </c>
      <c r="AM23" s="159">
        <f t="shared" si="24"/>
        <v>-0.24882931249999998</v>
      </c>
      <c r="AN23" s="159">
        <f t="shared" si="25"/>
        <v>-0.19949294374999998</v>
      </c>
      <c r="AO23" s="159">
        <f t="shared" si="26"/>
        <v>0.18032072148437497</v>
      </c>
      <c r="AP23" s="159">
        <f t="shared" si="27"/>
        <v>0.2113876418359375</v>
      </c>
      <c r="AQ23" s="159">
        <f t="shared" si="28"/>
        <v>-0.12212499738710936</v>
      </c>
      <c r="AR23" s="153"/>
      <c r="AS23" s="160">
        <f t="shared" si="9"/>
        <v>2.4606498708131839E-2</v>
      </c>
      <c r="AT23" s="154"/>
      <c r="AU23" s="163">
        <v>0.1</v>
      </c>
      <c r="AV23" s="159">
        <f t="shared" si="10"/>
        <v>-0.48499999999999999</v>
      </c>
      <c r="AW23" s="159">
        <f t="shared" si="11"/>
        <v>-0.14750000000000002</v>
      </c>
      <c r="AX23" s="159">
        <f t="shared" si="12"/>
        <v>0.3379375</v>
      </c>
      <c r="AY23" s="159">
        <f t="shared" si="13"/>
        <v>0.17882875000000001</v>
      </c>
      <c r="AZ23" s="159">
        <f t="shared" si="14"/>
        <v>-0.24882931249999998</v>
      </c>
      <c r="BA23" s="159">
        <f t="shared" si="15"/>
        <v>-0.19949294374999998</v>
      </c>
      <c r="BB23" s="159">
        <f t="shared" si="16"/>
        <v>0.18032072148437497</v>
      </c>
      <c r="BC23" s="159">
        <f t="shared" si="17"/>
        <v>0.2113876418359375</v>
      </c>
      <c r="BD23" s="159">
        <f t="shared" si="18"/>
        <v>-0.12212499738710936</v>
      </c>
      <c r="BE23" s="157"/>
      <c r="BF23" s="161">
        <f t="shared" si="19"/>
        <v>0.15460719251568017</v>
      </c>
      <c r="BG23" s="135"/>
      <c r="BH23" s="135"/>
      <c r="BI23" s="135"/>
      <c r="BJ23" s="135"/>
      <c r="BK23" s="135"/>
      <c r="BL23" s="135"/>
    </row>
    <row r="24" spans="1:64" ht="15" thickBot="1">
      <c r="A24" s="140"/>
      <c r="B24" s="259"/>
      <c r="C24" s="260"/>
      <c r="D24" s="135"/>
      <c r="E24" s="198">
        <f t="shared" si="0"/>
        <v>9</v>
      </c>
      <c r="F24" s="199">
        <f t="shared" ref="F24:F25" si="29">E24-1</f>
        <v>8</v>
      </c>
      <c r="G24" s="199">
        <f t="shared" ref="G24:G25" si="30">(2*E24-2)</f>
        <v>16</v>
      </c>
      <c r="H24" s="201">
        <f t="shared" si="6"/>
        <v>3.0723425627070918E-13</v>
      </c>
      <c r="I24" s="201"/>
      <c r="J24" s="177">
        <f>SUM(H$15:H24)</f>
        <v>1.0279762834599997</v>
      </c>
      <c r="K24" s="177"/>
      <c r="L24" s="175">
        <f t="shared" si="7"/>
        <v>48.4422411027371</v>
      </c>
      <c r="M24" s="135"/>
      <c r="N24" s="144"/>
      <c r="O24" s="181">
        <v>0.45</v>
      </c>
      <c r="P24" s="206">
        <v>0.59894503578714797</v>
      </c>
      <c r="Q24" s="206">
        <f t="shared" si="1"/>
        <v>9.5325063085876752E-2</v>
      </c>
      <c r="R24" s="176"/>
      <c r="S24" s="181">
        <v>0.95</v>
      </c>
      <c r="T24" s="206">
        <v>0.97419884305049098</v>
      </c>
      <c r="U24" s="206">
        <f t="shared" si="2"/>
        <v>0.15504856142589118</v>
      </c>
      <c r="V24" s="135"/>
      <c r="W24" s="135"/>
      <c r="X24" s="135"/>
      <c r="Y24" s="181">
        <v>0.09</v>
      </c>
      <c r="Z24" s="230">
        <v>0.13950575433155901</v>
      </c>
      <c r="AA24" s="230">
        <f t="shared" si="3"/>
        <v>2.2203030391631205E-2</v>
      </c>
      <c r="AB24" s="135"/>
      <c r="AC24" s="181">
        <v>0.59</v>
      </c>
      <c r="AD24" s="230">
        <v>0.729952955513681</v>
      </c>
      <c r="AE24" s="230">
        <f t="shared" si="4"/>
        <v>0.11617562109454072</v>
      </c>
      <c r="AF24" s="2"/>
      <c r="AG24" s="2"/>
      <c r="AH24" s="162">
        <v>0.12</v>
      </c>
      <c r="AI24" s="159">
        <f t="shared" si="20"/>
        <v>-0.47839999999999999</v>
      </c>
      <c r="AJ24" s="159">
        <f t="shared" si="21"/>
        <v>-0.17568</v>
      </c>
      <c r="AK24" s="159">
        <f t="shared" si="22"/>
        <v>0.3219072</v>
      </c>
      <c r="AL24" s="159">
        <f t="shared" si="23"/>
        <v>0.21007595519999997</v>
      </c>
      <c r="AM24" s="159">
        <f t="shared" si="24"/>
        <v>-0.22203928985599999</v>
      </c>
      <c r="AN24" s="159">
        <f t="shared" si="25"/>
        <v>-0.22954814619648001</v>
      </c>
      <c r="AO24" s="159">
        <f t="shared" si="26"/>
        <v>0.14263604572979202</v>
      </c>
      <c r="AP24" s="159">
        <f t="shared" si="27"/>
        <v>0.2363736336511795</v>
      </c>
      <c r="AQ24" s="159">
        <f t="shared" si="28"/>
        <v>-7.4479252684343855E-2</v>
      </c>
      <c r="AR24" s="153"/>
      <c r="AS24" s="160">
        <f t="shared" si="9"/>
        <v>2.9361681163228202E-2</v>
      </c>
      <c r="AT24" s="154"/>
      <c r="AU24" s="163">
        <v>0.12</v>
      </c>
      <c r="AV24" s="159">
        <f t="shared" si="10"/>
        <v>-0.47839999999999999</v>
      </c>
      <c r="AW24" s="159">
        <f t="shared" si="11"/>
        <v>-0.17568</v>
      </c>
      <c r="AX24" s="159">
        <f t="shared" si="12"/>
        <v>0.3219072</v>
      </c>
      <c r="AY24" s="159">
        <f t="shared" si="13"/>
        <v>0.21007595519999997</v>
      </c>
      <c r="AZ24" s="159">
        <f t="shared" si="14"/>
        <v>-0.22203928985599999</v>
      </c>
      <c r="BA24" s="159">
        <f t="shared" si="15"/>
        <v>-0.22954814619648001</v>
      </c>
      <c r="BB24" s="159">
        <f t="shared" si="16"/>
        <v>0.14263604572979202</v>
      </c>
      <c r="BC24" s="159">
        <f t="shared" si="17"/>
        <v>0.2363736336511795</v>
      </c>
      <c r="BD24" s="159">
        <f t="shared" si="18"/>
        <v>-7.4479252684343855E-2</v>
      </c>
      <c r="BE24" s="157"/>
      <c r="BF24" s="161">
        <f t="shared" si="19"/>
        <v>0.18448488506538854</v>
      </c>
      <c r="BG24" s="135"/>
      <c r="BH24" s="135"/>
      <c r="BI24" s="135"/>
      <c r="BJ24" s="135"/>
      <c r="BK24" s="135"/>
      <c r="BL24" s="135"/>
    </row>
    <row r="25" spans="1:64">
      <c r="A25" s="140"/>
      <c r="B25" s="141"/>
      <c r="C25" s="142"/>
      <c r="D25" s="133"/>
      <c r="E25" s="198">
        <f t="shared" si="0"/>
        <v>10</v>
      </c>
      <c r="F25" s="199">
        <f t="shared" si="29"/>
        <v>9</v>
      </c>
      <c r="G25" s="199">
        <f t="shared" si="30"/>
        <v>18</v>
      </c>
      <c r="H25" s="202">
        <f t="shared" si="6"/>
        <v>2.4664083350620819E-14</v>
      </c>
      <c r="I25" s="203"/>
      <c r="J25" s="177">
        <f>SUM(H$15:H25)</f>
        <v>1.0279762834600243</v>
      </c>
      <c r="K25" s="177"/>
      <c r="L25" s="175">
        <f t="shared" si="7"/>
        <v>48.442241102738265</v>
      </c>
      <c r="M25" s="148"/>
      <c r="N25" s="144"/>
      <c r="O25" s="181">
        <v>0.5</v>
      </c>
      <c r="P25" s="206">
        <v>0.64852339241014301</v>
      </c>
      <c r="Q25" s="206">
        <f t="shared" si="1"/>
        <v>0.10321570361279922</v>
      </c>
      <c r="R25" s="176"/>
      <c r="S25" s="207">
        <v>1</v>
      </c>
      <c r="T25" s="208">
        <v>1</v>
      </c>
      <c r="U25" s="206">
        <f t="shared" si="2"/>
        <v>0.15915494309189535</v>
      </c>
      <c r="V25" s="135"/>
      <c r="W25" s="135"/>
      <c r="X25" s="135"/>
      <c r="Y25" s="181">
        <v>0.1</v>
      </c>
      <c r="Z25" s="230">
        <v>0.15460691994415199</v>
      </c>
      <c r="AA25" s="230">
        <f t="shared" si="3"/>
        <v>2.4606455545324729E-2</v>
      </c>
      <c r="AB25" s="135"/>
      <c r="AC25" s="181">
        <v>0.6</v>
      </c>
      <c r="AD25" s="230">
        <v>0.73841645163255698</v>
      </c>
      <c r="AE25" s="230">
        <f t="shared" si="4"/>
        <v>0.1175226283376989</v>
      </c>
      <c r="AF25" s="2"/>
      <c r="AG25" s="2"/>
      <c r="AH25" s="162">
        <v>0.14000000000000001</v>
      </c>
      <c r="AI25" s="159">
        <f t="shared" si="20"/>
        <v>-0.47060000000000002</v>
      </c>
      <c r="AJ25" s="159">
        <f t="shared" si="21"/>
        <v>-0.20314000000000002</v>
      </c>
      <c r="AK25" s="159">
        <f t="shared" si="22"/>
        <v>0.30318069999999997</v>
      </c>
      <c r="AL25" s="159">
        <f t="shared" si="23"/>
        <v>0.23891353640000002</v>
      </c>
      <c r="AM25" s="159">
        <f t="shared" si="24"/>
        <v>-0.19132944232399998</v>
      </c>
      <c r="AN25" s="159">
        <f t="shared" si="25"/>
        <v>-0.25452868620424002</v>
      </c>
      <c r="AO25" s="159">
        <f t="shared" si="26"/>
        <v>0.10059948190488696</v>
      </c>
      <c r="AP25" s="159">
        <f t="shared" si="27"/>
        <v>0.25285069517417236</v>
      </c>
      <c r="AQ25" s="159">
        <f t="shared" si="28"/>
        <v>-2.3281248798068421E-2</v>
      </c>
      <c r="AR25" s="153"/>
      <c r="AS25" s="160">
        <f t="shared" si="9"/>
        <v>3.4042860635429169E-2</v>
      </c>
      <c r="AT25" s="154"/>
      <c r="AU25" s="163">
        <v>0.14000000000000001</v>
      </c>
      <c r="AV25" s="159">
        <f t="shared" si="10"/>
        <v>-0.47060000000000002</v>
      </c>
      <c r="AW25" s="159">
        <f t="shared" si="11"/>
        <v>-0.20314000000000002</v>
      </c>
      <c r="AX25" s="159">
        <f t="shared" si="12"/>
        <v>0.30318069999999997</v>
      </c>
      <c r="AY25" s="159">
        <f t="shared" si="13"/>
        <v>0.23891353640000002</v>
      </c>
      <c r="AZ25" s="159">
        <f t="shared" si="14"/>
        <v>-0.19132944232399998</v>
      </c>
      <c r="BA25" s="159">
        <f t="shared" si="15"/>
        <v>-0.25452868620424002</v>
      </c>
      <c r="BB25" s="159">
        <f t="shared" si="16"/>
        <v>0.10059948190488696</v>
      </c>
      <c r="BC25" s="159">
        <f t="shared" si="17"/>
        <v>0.25285069517417236</v>
      </c>
      <c r="BD25" s="159">
        <f t="shared" si="18"/>
        <v>-2.3281248798068421E-2</v>
      </c>
      <c r="BE25" s="157"/>
      <c r="BF25" s="161">
        <f t="shared" si="19"/>
        <v>0.21389760292269294</v>
      </c>
      <c r="BG25" s="135"/>
      <c r="BH25" s="135"/>
      <c r="BI25" s="135"/>
      <c r="BJ25" s="135"/>
      <c r="BK25" s="135"/>
      <c r="BL25" s="135"/>
    </row>
    <row r="26" spans="1:64">
      <c r="A26" s="135"/>
      <c r="B26" s="135"/>
      <c r="C26" s="135"/>
      <c r="D26" s="133"/>
      <c r="E26" s="135"/>
      <c r="F26" s="173"/>
      <c r="G26" s="1"/>
      <c r="H26" s="173"/>
      <c r="I26" s="173"/>
      <c r="J26" s="173"/>
      <c r="K26" s="173"/>
      <c r="L26" s="173"/>
      <c r="M26" s="144"/>
      <c r="N26" s="144"/>
      <c r="O26" s="144"/>
      <c r="P26" s="144"/>
      <c r="Q26" s="144"/>
      <c r="R26" s="144"/>
      <c r="S26" s="135"/>
      <c r="T26" s="135"/>
      <c r="U26" s="135"/>
      <c r="V26" s="135"/>
      <c r="W26" s="135"/>
      <c r="X26" s="135"/>
      <c r="Y26" s="181">
        <v>0.11</v>
      </c>
      <c r="Z26" s="230">
        <v>0.16960154509751499</v>
      </c>
      <c r="AA26" s="230">
        <f t="shared" si="3"/>
        <v>2.6992924258292521E-2</v>
      </c>
      <c r="AB26" s="135"/>
      <c r="AC26" s="181">
        <v>0.61</v>
      </c>
      <c r="AD26" s="230">
        <v>0.74676842258517295</v>
      </c>
      <c r="AE26" s="230">
        <f t="shared" si="4"/>
        <v>0.11885188579936766</v>
      </c>
      <c r="AF26" s="2"/>
      <c r="AG26" s="2"/>
      <c r="AH26" s="162">
        <v>0.16</v>
      </c>
      <c r="AI26" s="159">
        <f t="shared" si="20"/>
        <v>-0.46160000000000001</v>
      </c>
      <c r="AJ26" s="159">
        <f t="shared" si="21"/>
        <v>-0.22975999999999999</v>
      </c>
      <c r="AK26" s="159">
        <f t="shared" si="22"/>
        <v>0.28186719999999998</v>
      </c>
      <c r="AL26" s="159">
        <f t="shared" si="23"/>
        <v>0.26498575359999998</v>
      </c>
      <c r="AM26" s="159">
        <f t="shared" si="24"/>
        <v>-0.157160178944</v>
      </c>
      <c r="AN26" s="159">
        <f t="shared" si="25"/>
        <v>-0.27382967054336005</v>
      </c>
      <c r="AO26" s="159">
        <f t="shared" si="26"/>
        <v>5.5366255412992005E-2</v>
      </c>
      <c r="AP26" s="159">
        <f t="shared" si="27"/>
        <v>0.26013706434113532</v>
      </c>
      <c r="AQ26" s="159">
        <f t="shared" si="28"/>
        <v>2.9252037688012378E-2</v>
      </c>
      <c r="AR26" s="153"/>
      <c r="AS26" s="160">
        <f t="shared" si="9"/>
        <v>3.8644924159056647E-2</v>
      </c>
      <c r="AT26" s="154"/>
      <c r="AU26" s="163">
        <v>0.16</v>
      </c>
      <c r="AV26" s="159">
        <f t="shared" si="10"/>
        <v>-0.46160000000000001</v>
      </c>
      <c r="AW26" s="159">
        <f t="shared" si="11"/>
        <v>-0.22975999999999999</v>
      </c>
      <c r="AX26" s="159">
        <f t="shared" si="12"/>
        <v>0.28186719999999998</v>
      </c>
      <c r="AY26" s="159">
        <f t="shared" si="13"/>
        <v>0.26498575359999998</v>
      </c>
      <c r="AZ26" s="159">
        <f t="shared" si="14"/>
        <v>-0.157160178944</v>
      </c>
      <c r="BA26" s="159">
        <f t="shared" si="15"/>
        <v>-0.27382967054336005</v>
      </c>
      <c r="BB26" s="159">
        <f t="shared" si="16"/>
        <v>5.5366255412992005E-2</v>
      </c>
      <c r="BC26" s="159">
        <f t="shared" si="17"/>
        <v>0.26013706434113532</v>
      </c>
      <c r="BD26" s="159">
        <f t="shared" si="18"/>
        <v>2.9252037688012378E-2</v>
      </c>
      <c r="BE26" s="157"/>
      <c r="BF26" s="161">
        <f t="shared" si="19"/>
        <v>0.24281322049150944</v>
      </c>
      <c r="BG26" s="135"/>
      <c r="BH26" s="135"/>
      <c r="BI26" s="135"/>
      <c r="BJ26" s="135"/>
      <c r="BK26" s="135"/>
      <c r="BL26" s="135"/>
    </row>
    <row r="27" spans="1:64" ht="15">
      <c r="A27" s="135"/>
      <c r="B27" s="179" t="s">
        <v>138</v>
      </c>
      <c r="C27" s="135"/>
      <c r="D27" s="135"/>
      <c r="E27" s="135"/>
      <c r="F27" s="1"/>
      <c r="G27" s="178" t="s">
        <v>167</v>
      </c>
      <c r="H27" s="215">
        <f>H213</f>
        <v>1.0279762834600268</v>
      </c>
      <c r="I27" s="167"/>
      <c r="J27" s="173"/>
      <c r="K27" s="173"/>
      <c r="L27" s="209">
        <f>PI()*($C$13+$C$18)*H27</f>
        <v>48.442241102738379</v>
      </c>
      <c r="M27" s="144"/>
      <c r="N27" s="144"/>
      <c r="O27" s="144"/>
      <c r="P27" s="144"/>
      <c r="Q27" s="145" t="s">
        <v>92</v>
      </c>
      <c r="R27" s="144"/>
      <c r="S27" s="135"/>
      <c r="T27" s="135"/>
      <c r="U27" s="135"/>
      <c r="V27" s="135"/>
      <c r="W27" s="135"/>
      <c r="X27" s="135"/>
      <c r="Y27" s="181">
        <v>0.12</v>
      </c>
      <c r="Z27" s="230">
        <v>0.18448445261930099</v>
      </c>
      <c r="AA27" s="230">
        <f t="shared" si="3"/>
        <v>2.9361612557964312E-2</v>
      </c>
      <c r="AB27" s="135"/>
      <c r="AC27" s="181">
        <v>0.62</v>
      </c>
      <c r="AD27" s="230">
        <v>0.75501031855186396</v>
      </c>
      <c r="AE27" s="230">
        <f t="shared" si="4"/>
        <v>0.12016362428291569</v>
      </c>
      <c r="AF27" s="2"/>
      <c r="AG27" s="2"/>
      <c r="AH27" s="162">
        <v>0.18</v>
      </c>
      <c r="AI27" s="159">
        <f t="shared" si="20"/>
        <v>-0.45140000000000002</v>
      </c>
      <c r="AJ27" s="159">
        <f t="shared" si="21"/>
        <v>-0.25542000000000004</v>
      </c>
      <c r="AK27" s="159">
        <f t="shared" si="22"/>
        <v>0.25809270000000001</v>
      </c>
      <c r="AL27" s="159">
        <f t="shared" si="23"/>
        <v>0.28795803479999998</v>
      </c>
      <c r="AM27" s="159">
        <f t="shared" si="24"/>
        <v>-0.12005109851600002</v>
      </c>
      <c r="AN27" s="159">
        <f t="shared" si="25"/>
        <v>-0.28695253990392</v>
      </c>
      <c r="AO27" s="159">
        <f t="shared" si="26"/>
        <v>8.198228983927025E-3</v>
      </c>
      <c r="AP27" s="159">
        <f t="shared" si="27"/>
        <v>0.25785632221357513</v>
      </c>
      <c r="AQ27" s="159">
        <f t="shared" si="28"/>
        <v>8.0808456111508387E-2</v>
      </c>
      <c r="AR27" s="153"/>
      <c r="AS27" s="160">
        <f t="shared" si="9"/>
        <v>4.3163808229399532E-2</v>
      </c>
      <c r="AT27" s="154"/>
      <c r="AU27" s="163">
        <v>0.18</v>
      </c>
      <c r="AV27" s="159">
        <f t="shared" si="10"/>
        <v>-0.45140000000000002</v>
      </c>
      <c r="AW27" s="159">
        <f t="shared" si="11"/>
        <v>-0.25542000000000004</v>
      </c>
      <c r="AX27" s="159">
        <f t="shared" si="12"/>
        <v>0.25809270000000001</v>
      </c>
      <c r="AY27" s="159">
        <f t="shared" si="13"/>
        <v>0.28795803479999998</v>
      </c>
      <c r="AZ27" s="159">
        <f t="shared" si="14"/>
        <v>-0.12005109851600002</v>
      </c>
      <c r="BA27" s="159">
        <f t="shared" si="15"/>
        <v>-0.28695253990392</v>
      </c>
      <c r="BB27" s="159">
        <f t="shared" si="16"/>
        <v>8.198228983927025E-3</v>
      </c>
      <c r="BC27" s="159">
        <f t="shared" si="17"/>
        <v>0.25785632221357513</v>
      </c>
      <c r="BD27" s="159">
        <f t="shared" si="18"/>
        <v>8.0808456111508387E-2</v>
      </c>
      <c r="BE27" s="157"/>
      <c r="BF27" s="161">
        <f t="shared" si="19"/>
        <v>0.27120620612104379</v>
      </c>
      <c r="BG27" s="135"/>
      <c r="BH27" s="135"/>
      <c r="BI27" s="135"/>
      <c r="BJ27" s="135"/>
      <c r="BK27" s="135"/>
      <c r="BL27" s="135"/>
    </row>
    <row r="28" spans="1:64" ht="16" thickBot="1">
      <c r="A28" s="135"/>
      <c r="B28" s="135"/>
      <c r="C28" s="135"/>
      <c r="D28" s="135"/>
      <c r="E28" s="137"/>
      <c r="F28" s="135"/>
      <c r="G28" s="135"/>
      <c r="H28" s="135"/>
      <c r="I28" s="135"/>
      <c r="J28" s="135"/>
      <c r="K28" s="135"/>
      <c r="L28" s="135"/>
      <c r="M28" s="144"/>
      <c r="N28" s="144"/>
      <c r="O28" s="144"/>
      <c r="P28" s="144"/>
      <c r="Q28" s="144"/>
      <c r="R28" s="144"/>
      <c r="S28" s="135"/>
      <c r="T28" s="135"/>
      <c r="U28" s="135"/>
      <c r="V28" s="135"/>
      <c r="W28" s="135"/>
      <c r="X28" s="135"/>
      <c r="Y28" s="181">
        <v>0.13</v>
      </c>
      <c r="Z28" s="230">
        <v>0.19925097804879999</v>
      </c>
      <c r="AA28" s="230">
        <f t="shared" si="3"/>
        <v>3.1711778072361252E-2</v>
      </c>
      <c r="AB28" s="135"/>
      <c r="AC28" s="181">
        <v>0.63</v>
      </c>
      <c r="AD28" s="230">
        <v>0.76314358572320595</v>
      </c>
      <c r="AE28" s="230">
        <f t="shared" si="4"/>
        <v>0.1214580739567218</v>
      </c>
      <c r="AF28" s="2"/>
      <c r="AG28" s="2"/>
      <c r="AH28" s="162">
        <v>0.2</v>
      </c>
      <c r="AI28" s="159">
        <f t="shared" si="20"/>
        <v>-0.44</v>
      </c>
      <c r="AJ28" s="159">
        <f t="shared" si="21"/>
        <v>-0.28000000000000003</v>
      </c>
      <c r="AK28" s="159">
        <f t="shared" si="22"/>
        <v>0.23199999999999998</v>
      </c>
      <c r="AL28" s="159">
        <f t="shared" si="23"/>
        <v>0.30752000000000002</v>
      </c>
      <c r="AM28" s="159">
        <f t="shared" si="24"/>
        <v>-8.0575999999999953E-2</v>
      </c>
      <c r="AN28" s="159">
        <f t="shared" si="25"/>
        <v>-0.29351679999999997</v>
      </c>
      <c r="AO28" s="159">
        <f t="shared" si="26"/>
        <v>-3.9564800000000067E-2</v>
      </c>
      <c r="AP28" s="159">
        <f t="shared" si="27"/>
        <v>0.24595711999999997</v>
      </c>
      <c r="AQ28" s="159">
        <f t="shared" si="28"/>
        <v>0.12907202559999997</v>
      </c>
      <c r="AR28" s="153"/>
      <c r="AS28" s="160">
        <f t="shared" si="9"/>
        <v>4.7596343742019639E-2</v>
      </c>
      <c r="AT28" s="154"/>
      <c r="AU28" s="163">
        <v>0.2</v>
      </c>
      <c r="AV28" s="159">
        <f t="shared" si="10"/>
        <v>-0.44</v>
      </c>
      <c r="AW28" s="159">
        <f t="shared" si="11"/>
        <v>-0.28000000000000003</v>
      </c>
      <c r="AX28" s="159">
        <f t="shared" si="12"/>
        <v>0.23199999999999998</v>
      </c>
      <c r="AY28" s="159">
        <f t="shared" si="13"/>
        <v>0.30752000000000002</v>
      </c>
      <c r="AZ28" s="159">
        <f t="shared" si="14"/>
        <v>-8.0575999999999953E-2</v>
      </c>
      <c r="BA28" s="159">
        <f t="shared" si="15"/>
        <v>-0.29351679999999997</v>
      </c>
      <c r="BB28" s="159">
        <f t="shared" si="16"/>
        <v>-3.9564800000000067E-2</v>
      </c>
      <c r="BC28" s="159">
        <f t="shared" si="17"/>
        <v>0.24595711999999997</v>
      </c>
      <c r="BD28" s="159">
        <f t="shared" si="18"/>
        <v>0.12907202559999997</v>
      </c>
      <c r="BE28" s="157"/>
      <c r="BF28" s="161">
        <f t="shared" si="19"/>
        <v>0.2990566478142696</v>
      </c>
      <c r="BG28" s="135"/>
      <c r="BH28" s="135"/>
      <c r="BI28" s="135"/>
      <c r="BJ28" s="135"/>
      <c r="BK28" s="135"/>
      <c r="BL28" s="135"/>
    </row>
    <row r="29" spans="1:64" ht="16" thickBot="1">
      <c r="A29" s="135"/>
      <c r="B29" s="218" t="s">
        <v>9</v>
      </c>
      <c r="C29" s="220">
        <f>C18/C13</f>
        <v>0.5</v>
      </c>
      <c r="D29" s="133"/>
      <c r="E29" s="137" t="s">
        <v>104</v>
      </c>
      <c r="F29" s="135"/>
      <c r="G29" s="135"/>
      <c r="H29" s="135"/>
      <c r="I29" s="135"/>
      <c r="J29" s="135"/>
      <c r="K29" s="135"/>
      <c r="L29" s="135"/>
      <c r="M29" s="144"/>
      <c r="N29" s="144"/>
      <c r="O29" s="144"/>
      <c r="P29" s="144"/>
      <c r="Q29" s="146" t="s">
        <v>107</v>
      </c>
      <c r="R29" s="147">
        <f>'3rd Order (Y_Factor)'!D11</f>
        <v>-5.8223447552485652E-4</v>
      </c>
      <c r="S29" s="135"/>
      <c r="T29" s="135"/>
      <c r="U29" s="135"/>
      <c r="V29" s="135"/>
      <c r="W29" s="135"/>
      <c r="X29" s="135"/>
      <c r="Y29" s="181">
        <v>0.14000000000000001</v>
      </c>
      <c r="Z29" s="230">
        <v>0.21389692699249299</v>
      </c>
      <c r="AA29" s="230">
        <f t="shared" si="3"/>
        <v>3.4042753243021515E-2</v>
      </c>
      <c r="AB29" s="135"/>
      <c r="AC29" s="181">
        <v>0.64</v>
      </c>
      <c r="AD29" s="230">
        <v>0.77116966514630803</v>
      </c>
      <c r="AE29" s="230">
        <f t="shared" si="4"/>
        <v>0.12273546417055664</v>
      </c>
      <c r="AF29" s="2"/>
      <c r="AG29" s="2"/>
      <c r="AH29" s="162">
        <v>0.22</v>
      </c>
      <c r="AI29" s="159">
        <f t="shared" si="20"/>
        <v>-0.4274</v>
      </c>
      <c r="AJ29" s="159">
        <f t="shared" si="21"/>
        <v>-0.30338000000000004</v>
      </c>
      <c r="AK29" s="159">
        <f t="shared" si="22"/>
        <v>0.2037487</v>
      </c>
      <c r="AL29" s="159">
        <f t="shared" si="23"/>
        <v>0.32338848519999996</v>
      </c>
      <c r="AM29" s="159">
        <f t="shared" si="24"/>
        <v>-3.9357227636000025E-2</v>
      </c>
      <c r="AN29" s="159">
        <f t="shared" si="25"/>
        <v>-0.29327036889128</v>
      </c>
      <c r="AO29" s="159">
        <f t="shared" si="26"/>
        <v>-8.6536452986152979E-2</v>
      </c>
      <c r="AP29" s="159">
        <f t="shared" si="27"/>
        <v>0.22472406855133642</v>
      </c>
      <c r="AQ29" s="159">
        <f t="shared" si="28"/>
        <v>0.17181746834199629</v>
      </c>
      <c r="AR29" s="153"/>
      <c r="AS29" s="160">
        <f t="shared" si="9"/>
        <v>5.1940126389269647E-2</v>
      </c>
      <c r="AT29" s="154"/>
      <c r="AU29" s="163">
        <v>0.22</v>
      </c>
      <c r="AV29" s="159">
        <f t="shared" si="10"/>
        <v>-0.4274</v>
      </c>
      <c r="AW29" s="159">
        <f t="shared" si="11"/>
        <v>-0.30338000000000004</v>
      </c>
      <c r="AX29" s="159">
        <f t="shared" si="12"/>
        <v>0.2037487</v>
      </c>
      <c r="AY29" s="159">
        <f t="shared" si="13"/>
        <v>0.32338848519999996</v>
      </c>
      <c r="AZ29" s="159">
        <f t="shared" si="14"/>
        <v>-3.9357227636000025E-2</v>
      </c>
      <c r="BA29" s="159">
        <f t="shared" si="15"/>
        <v>-0.29327036889128</v>
      </c>
      <c r="BB29" s="159">
        <f t="shared" si="16"/>
        <v>-8.6536452986152979E-2</v>
      </c>
      <c r="BC29" s="159">
        <f t="shared" si="17"/>
        <v>0.22472406855133642</v>
      </c>
      <c r="BD29" s="159">
        <f t="shared" si="18"/>
        <v>0.17181746834199629</v>
      </c>
      <c r="BE29" s="157"/>
      <c r="BF29" s="161">
        <f t="shared" si="19"/>
        <v>0.32634943890106977</v>
      </c>
      <c r="BG29" s="135"/>
      <c r="BH29" s="135"/>
      <c r="BI29" s="135"/>
      <c r="BJ29" s="135"/>
      <c r="BK29" s="135"/>
      <c r="BL29" s="135"/>
    </row>
    <row r="30" spans="1:64">
      <c r="A30" s="135"/>
      <c r="B30" s="221"/>
      <c r="C30" s="222"/>
      <c r="D30" s="133"/>
      <c r="E30" s="135"/>
      <c r="F30" s="135"/>
      <c r="G30" s="135"/>
      <c r="H30" s="135"/>
      <c r="I30" s="135"/>
      <c r="J30" s="135"/>
      <c r="K30" s="135"/>
      <c r="L30" s="135"/>
      <c r="M30" s="144"/>
      <c r="N30" s="144"/>
      <c r="O30" s="144"/>
      <c r="P30" s="144"/>
      <c r="Q30" s="144"/>
      <c r="R30" s="144"/>
      <c r="S30" s="135"/>
      <c r="T30" s="135"/>
      <c r="U30" s="135"/>
      <c r="V30" s="135"/>
      <c r="W30" s="135"/>
      <c r="X30" s="135"/>
      <c r="Y30" s="181">
        <v>0.15</v>
      </c>
      <c r="Z30" s="230">
        <v>0.228418537819569</v>
      </c>
      <c r="AA30" s="230">
        <f t="shared" si="3"/>
        <v>3.6353939387807448E-2</v>
      </c>
      <c r="AB30" s="135"/>
      <c r="AC30" s="181">
        <v>0.65</v>
      </c>
      <c r="AD30" s="230">
        <v>0.77908999165989401</v>
      </c>
      <c r="AE30" s="230">
        <f t="shared" si="4"/>
        <v>0.12399602328609564</v>
      </c>
      <c r="AF30" s="2"/>
      <c r="AG30" s="2"/>
      <c r="AH30" s="162">
        <v>0.24</v>
      </c>
      <c r="AI30" s="159">
        <f t="shared" si="20"/>
        <v>-0.41359999999999997</v>
      </c>
      <c r="AJ30" s="159">
        <f t="shared" si="21"/>
        <v>-0.32544000000000001</v>
      </c>
      <c r="AK30" s="159">
        <f t="shared" si="22"/>
        <v>0.17351520000000001</v>
      </c>
      <c r="AL30" s="159">
        <f t="shared" si="23"/>
        <v>0.33531056639999995</v>
      </c>
      <c r="AM30" s="159">
        <f t="shared" si="24"/>
        <v>2.9406492160000131E-3</v>
      </c>
      <c r="AN30" s="159">
        <f t="shared" si="25"/>
        <v>-0.28609836754944001</v>
      </c>
      <c r="AO30" s="159">
        <f t="shared" si="26"/>
        <v>-0.13131733346124796</v>
      </c>
      <c r="AP30" s="159">
        <f t="shared" si="27"/>
        <v>0.19477913554151421</v>
      </c>
      <c r="AQ30" s="159">
        <f t="shared" si="28"/>
        <v>0.20700488592205368</v>
      </c>
      <c r="AR30" s="153"/>
      <c r="AS30" s="160">
        <f t="shared" si="9"/>
        <v>5.6193408036877168E-2</v>
      </c>
      <c r="AT30" s="154"/>
      <c r="AU30" s="163">
        <v>0.24</v>
      </c>
      <c r="AV30" s="159">
        <f t="shared" si="10"/>
        <v>-0.41359999999999997</v>
      </c>
      <c r="AW30" s="159">
        <f t="shared" si="11"/>
        <v>-0.32544000000000001</v>
      </c>
      <c r="AX30" s="159">
        <f t="shared" si="12"/>
        <v>0.17351520000000001</v>
      </c>
      <c r="AY30" s="159">
        <f t="shared" si="13"/>
        <v>0.33531056639999995</v>
      </c>
      <c r="AZ30" s="159">
        <f t="shared" si="14"/>
        <v>2.9406492160000131E-3</v>
      </c>
      <c r="BA30" s="159">
        <f t="shared" si="15"/>
        <v>-0.28609836754944001</v>
      </c>
      <c r="BB30" s="159">
        <f t="shared" si="16"/>
        <v>-0.13131733346124796</v>
      </c>
      <c r="BC30" s="159">
        <f t="shared" si="17"/>
        <v>0.19477913554151421</v>
      </c>
      <c r="BD30" s="159">
        <f t="shared" si="18"/>
        <v>0.20700488592205368</v>
      </c>
      <c r="BE30" s="157"/>
      <c r="BF30" s="161">
        <f t="shared" si="19"/>
        <v>0.35307359554061074</v>
      </c>
      <c r="BG30" s="135"/>
      <c r="BH30" s="135"/>
      <c r="BI30" s="135"/>
      <c r="BJ30" s="135"/>
      <c r="BK30" s="135"/>
      <c r="BL30" s="135"/>
    </row>
    <row r="31" spans="1:64" ht="15" thickBot="1">
      <c r="A31" s="135"/>
      <c r="B31" s="223"/>
      <c r="C31" s="223"/>
      <c r="D31" s="133"/>
      <c r="E31" s="135"/>
      <c r="F31" s="135"/>
      <c r="G31" s="135"/>
      <c r="H31" s="135"/>
      <c r="I31" s="135"/>
      <c r="J31" s="135"/>
      <c r="K31" s="135"/>
      <c r="L31" s="135"/>
      <c r="M31" s="144"/>
      <c r="N31" s="144"/>
      <c r="O31" s="144"/>
      <c r="P31" s="144"/>
      <c r="Q31" s="146" t="s">
        <v>108</v>
      </c>
      <c r="R31" s="147">
        <f>'3rd Order (Y_Factor)'!D13</f>
        <v>0.26719956475582762</v>
      </c>
      <c r="S31" s="135"/>
      <c r="T31" s="135"/>
      <c r="U31" s="135"/>
      <c r="V31" s="135"/>
      <c r="W31" s="135"/>
      <c r="X31" s="135"/>
      <c r="Y31" s="181">
        <v>0.16</v>
      </c>
      <c r="Z31" s="230">
        <v>0.242812448593028</v>
      </c>
      <c r="AA31" s="230">
        <f t="shared" si="3"/>
        <v>3.8644801437827135E-2</v>
      </c>
      <c r="AB31" s="135"/>
      <c r="AC31" s="181">
        <v>0.66</v>
      </c>
      <c r="AD31" s="230">
        <v>0.78690599291293795</v>
      </c>
      <c r="AE31" s="230">
        <f t="shared" si="4"/>
        <v>0.12523997852073004</v>
      </c>
      <c r="AF31" s="2"/>
      <c r="AG31" s="2"/>
      <c r="AH31" s="162">
        <v>0.26</v>
      </c>
      <c r="AI31" s="159">
        <f t="shared" si="20"/>
        <v>-0.39859999999999995</v>
      </c>
      <c r="AJ31" s="159">
        <f t="shared" si="21"/>
        <v>-0.34606000000000003</v>
      </c>
      <c r="AK31" s="159">
        <f t="shared" si="22"/>
        <v>0.1414927</v>
      </c>
      <c r="AL31" s="159">
        <f t="shared" si="23"/>
        <v>0.34306658360000003</v>
      </c>
      <c r="AM31" s="159">
        <f t="shared" si="24"/>
        <v>4.5617821516000023E-2</v>
      </c>
      <c r="AN31" s="159">
        <f t="shared" si="25"/>
        <v>-0.27203018069655993</v>
      </c>
      <c r="AO31" s="159">
        <f t="shared" si="26"/>
        <v>-0.17253030691607307</v>
      </c>
      <c r="AP31" s="159">
        <f t="shared" si="27"/>
        <v>0.15707305433371532</v>
      </c>
      <c r="AQ31" s="159">
        <f t="shared" si="28"/>
        <v>0.23287136506532113</v>
      </c>
      <c r="AR31" s="153"/>
      <c r="AS31" s="160">
        <f t="shared" si="9"/>
        <v>6.0355005287680556E-2</v>
      </c>
      <c r="AT31" s="154"/>
      <c r="AU31" s="163">
        <v>0.26</v>
      </c>
      <c r="AV31" s="159">
        <f t="shared" si="10"/>
        <v>-0.39859999999999995</v>
      </c>
      <c r="AW31" s="159">
        <f t="shared" si="11"/>
        <v>-0.34606000000000003</v>
      </c>
      <c r="AX31" s="159">
        <f t="shared" si="12"/>
        <v>0.1414927</v>
      </c>
      <c r="AY31" s="159">
        <f t="shared" si="13"/>
        <v>0.34306658360000003</v>
      </c>
      <c r="AZ31" s="159">
        <f t="shared" si="14"/>
        <v>4.5617821516000023E-2</v>
      </c>
      <c r="BA31" s="159">
        <f t="shared" si="15"/>
        <v>-0.27203018069655993</v>
      </c>
      <c r="BB31" s="159">
        <f t="shared" si="16"/>
        <v>-0.17253030691607307</v>
      </c>
      <c r="BC31" s="159">
        <f t="shared" si="17"/>
        <v>0.15707305433371532</v>
      </c>
      <c r="BD31" s="159">
        <f t="shared" si="18"/>
        <v>0.23287136506532113</v>
      </c>
      <c r="BE31" s="157"/>
      <c r="BF31" s="161">
        <f t="shared" si="19"/>
        <v>0.3792216822177728</v>
      </c>
      <c r="BG31" s="135"/>
      <c r="BH31" s="135"/>
      <c r="BI31" s="135"/>
      <c r="BJ31" s="135"/>
      <c r="BK31" s="135"/>
      <c r="BL31" s="135"/>
    </row>
    <row r="32" spans="1:64" ht="15" thickBot="1">
      <c r="A32" s="135"/>
      <c r="B32" s="218" t="s">
        <v>3</v>
      </c>
      <c r="C32" s="224">
        <f>($C$13-$C$18)^2/($C$13+$C$18)^2</f>
        <v>0.1111111111111111</v>
      </c>
      <c r="D32" s="133"/>
      <c r="E32" s="135"/>
      <c r="F32" s="135"/>
      <c r="G32" s="135"/>
      <c r="H32" s="135"/>
      <c r="I32" s="135"/>
      <c r="J32" s="135"/>
      <c r="K32" s="135"/>
      <c r="L32" s="135"/>
      <c r="M32" s="144"/>
      <c r="N32" s="144"/>
      <c r="O32" s="144"/>
      <c r="P32" s="144"/>
      <c r="Q32" s="144"/>
      <c r="R32" s="144"/>
      <c r="S32" s="135"/>
      <c r="T32" s="135"/>
      <c r="U32" s="135"/>
      <c r="V32" s="135"/>
      <c r="W32" s="135"/>
      <c r="X32" s="135"/>
      <c r="Y32" s="181">
        <v>0.17</v>
      </c>
      <c r="Z32" s="230">
        <v>0.25707566743646698</v>
      </c>
      <c r="AA32" s="230">
        <f t="shared" si="3"/>
        <v>4.0914863221161918E-2</v>
      </c>
      <c r="AB32" s="135"/>
      <c r="AC32" s="181">
        <v>0.67</v>
      </c>
      <c r="AD32" s="230">
        <v>0.794619088461889</v>
      </c>
      <c r="AE32" s="230">
        <f t="shared" si="4"/>
        <v>0.12646755580388569</v>
      </c>
      <c r="AF32" s="2"/>
      <c r="AG32" s="2"/>
      <c r="AH32" s="162">
        <v>0.28000000000000003</v>
      </c>
      <c r="AI32" s="159">
        <f t="shared" si="20"/>
        <v>-0.38239999999999996</v>
      </c>
      <c r="AJ32" s="159">
        <f t="shared" si="21"/>
        <v>-0.36512</v>
      </c>
      <c r="AK32" s="159">
        <f t="shared" si="22"/>
        <v>0.10789119999999996</v>
      </c>
      <c r="AL32" s="159">
        <f t="shared" si="23"/>
        <v>0.34647316479999996</v>
      </c>
      <c r="AM32" s="159">
        <f t="shared" si="24"/>
        <v>8.7946891264000016E-2</v>
      </c>
      <c r="AN32" s="159">
        <f t="shared" si="25"/>
        <v>-0.25124461494271993</v>
      </c>
      <c r="AO32" s="159">
        <f t="shared" si="26"/>
        <v>-0.20885695270092808</v>
      </c>
      <c r="AP32" s="159">
        <f t="shared" si="27"/>
        <v>0.11286642496503796</v>
      </c>
      <c r="AQ32" s="159">
        <f t="shared" si="28"/>
        <v>0.24801619551223564</v>
      </c>
      <c r="AR32" s="153"/>
      <c r="AS32" s="160">
        <f t="shared" si="9"/>
        <v>6.4424222050766464E-2</v>
      </c>
      <c r="AT32" s="154"/>
      <c r="AU32" s="163">
        <v>0.28000000000000003</v>
      </c>
      <c r="AV32" s="159">
        <f t="shared" si="10"/>
        <v>-0.38239999999999996</v>
      </c>
      <c r="AW32" s="159">
        <f t="shared" si="11"/>
        <v>-0.36512</v>
      </c>
      <c r="AX32" s="159">
        <f t="shared" si="12"/>
        <v>0.10789119999999996</v>
      </c>
      <c r="AY32" s="159">
        <f t="shared" si="13"/>
        <v>0.34647316479999996</v>
      </c>
      <c r="AZ32" s="159">
        <f t="shared" si="14"/>
        <v>8.7946891264000016E-2</v>
      </c>
      <c r="BA32" s="159">
        <f t="shared" si="15"/>
        <v>-0.25124461494271993</v>
      </c>
      <c r="BB32" s="159">
        <f t="shared" si="16"/>
        <v>-0.20885695270092808</v>
      </c>
      <c r="BC32" s="159">
        <f t="shared" si="17"/>
        <v>0.11286642496503796</v>
      </c>
      <c r="BD32" s="159">
        <f t="shared" si="18"/>
        <v>0.24801619551223564</v>
      </c>
      <c r="BE32" s="157"/>
      <c r="BF32" s="161">
        <f t="shared" si="19"/>
        <v>0.40478932523951539</v>
      </c>
      <c r="BG32" s="135"/>
      <c r="BH32" s="135"/>
      <c r="BI32" s="135"/>
      <c r="BJ32" s="135"/>
      <c r="BK32" s="135"/>
      <c r="BL32" s="135"/>
    </row>
    <row r="33" spans="1:64">
      <c r="A33" s="135"/>
      <c r="B33" s="133"/>
      <c r="C33" s="133"/>
      <c r="D33" s="133"/>
      <c r="E33" s="135"/>
      <c r="F33" s="135"/>
      <c r="G33" s="135"/>
      <c r="H33" s="135"/>
      <c r="I33" s="135"/>
      <c r="J33" s="135"/>
      <c r="K33" s="135"/>
      <c r="L33" s="135"/>
      <c r="M33" s="144"/>
      <c r="N33" s="144"/>
      <c r="O33" s="144"/>
      <c r="P33" s="144"/>
      <c r="Q33" s="146" t="s">
        <v>109</v>
      </c>
      <c r="R33" s="147">
        <f>'3rd Order (Y_Factor)'!D15</f>
        <v>-0.13185470083729456</v>
      </c>
      <c r="S33" s="135"/>
      <c r="T33" s="135"/>
      <c r="U33" s="135"/>
      <c r="V33" s="135"/>
      <c r="W33" s="135"/>
      <c r="X33" s="135"/>
      <c r="Y33" s="181">
        <v>0.18</v>
      </c>
      <c r="Z33" s="230">
        <v>0.27120554574308903</v>
      </c>
      <c r="AA33" s="230">
        <f t="shared" si="3"/>
        <v>4.3163703198947752E-2</v>
      </c>
      <c r="AB33" s="135"/>
      <c r="AC33" s="181">
        <v>0.68</v>
      </c>
      <c r="AD33" s="230">
        <v>0.80223068894180405</v>
      </c>
      <c r="AE33" s="230">
        <f t="shared" si="4"/>
        <v>0.12767897964510483</v>
      </c>
      <c r="AF33" s="2"/>
      <c r="AG33" s="2"/>
      <c r="AH33" s="162">
        <v>0.3</v>
      </c>
      <c r="AI33" s="159">
        <f t="shared" si="20"/>
        <v>-0.36499999999999999</v>
      </c>
      <c r="AJ33" s="159">
        <f t="shared" si="21"/>
        <v>-0.38249999999999995</v>
      </c>
      <c r="AK33" s="159">
        <f t="shared" si="22"/>
        <v>7.2937500000000044E-2</v>
      </c>
      <c r="AL33" s="159">
        <f t="shared" si="23"/>
        <v>0.34538625000000001</v>
      </c>
      <c r="AM33" s="159">
        <f t="shared" si="24"/>
        <v>0.12918118749999996</v>
      </c>
      <c r="AN33" s="159">
        <f t="shared" si="25"/>
        <v>-0.22407298124999997</v>
      </c>
      <c r="AO33" s="159">
        <f t="shared" si="26"/>
        <v>-0.23907459101562489</v>
      </c>
      <c r="AP33" s="159">
        <f t="shared" si="27"/>
        <v>6.3700381757812563E-2</v>
      </c>
      <c r="AQ33" s="159">
        <f t="shared" si="28"/>
        <v>0.2514763495160155</v>
      </c>
      <c r="AR33" s="153"/>
      <c r="AS33" s="160">
        <f t="shared" si="9"/>
        <v>6.8400783476319268E-2</v>
      </c>
      <c r="AT33" s="154"/>
      <c r="AU33" s="163">
        <v>0.3</v>
      </c>
      <c r="AV33" s="159">
        <f t="shared" si="10"/>
        <v>-0.36499999999999999</v>
      </c>
      <c r="AW33" s="159">
        <f t="shared" si="11"/>
        <v>-0.38249999999999995</v>
      </c>
      <c r="AX33" s="159">
        <f t="shared" si="12"/>
        <v>7.2937500000000044E-2</v>
      </c>
      <c r="AY33" s="159">
        <f t="shared" si="13"/>
        <v>0.34538625000000001</v>
      </c>
      <c r="AZ33" s="159">
        <f t="shared" si="14"/>
        <v>0.12918118749999996</v>
      </c>
      <c r="BA33" s="159">
        <f t="shared" si="15"/>
        <v>-0.22407298124999997</v>
      </c>
      <c r="BB33" s="159">
        <f t="shared" si="16"/>
        <v>-0.23907459101562489</v>
      </c>
      <c r="BC33" s="159">
        <f t="shared" si="17"/>
        <v>6.3700381757812563E-2</v>
      </c>
      <c r="BD33" s="159">
        <f t="shared" si="18"/>
        <v>0.2514763495160155</v>
      </c>
      <c r="BE33" s="157"/>
      <c r="BF33" s="161">
        <f t="shared" si="19"/>
        <v>0.42977479764367887</v>
      </c>
      <c r="BG33" s="135"/>
      <c r="BH33" s="135"/>
      <c r="BI33" s="135"/>
      <c r="BJ33" s="135"/>
      <c r="BK33" s="135"/>
      <c r="BL33" s="135"/>
    </row>
    <row r="34" spans="1:64">
      <c r="A34" s="135"/>
      <c r="B34" s="133"/>
      <c r="C34" s="133"/>
      <c r="D34" s="133"/>
      <c r="E34" s="135"/>
      <c r="F34" s="135"/>
      <c r="G34" s="135"/>
      <c r="H34" s="135"/>
      <c r="I34" s="135"/>
      <c r="J34" s="135"/>
      <c r="K34" s="135"/>
      <c r="L34" s="135"/>
      <c r="M34" s="144"/>
      <c r="N34" s="144"/>
      <c r="O34" s="144"/>
      <c r="P34" s="144"/>
      <c r="Q34" s="144"/>
      <c r="R34" s="144"/>
      <c r="S34" s="135"/>
      <c r="T34" s="135"/>
      <c r="U34" s="135"/>
      <c r="V34" s="135"/>
      <c r="W34" s="135"/>
      <c r="X34" s="135"/>
      <c r="Y34" s="181">
        <v>0.19</v>
      </c>
      <c r="Z34" s="230">
        <v>0.28519975377712498</v>
      </c>
      <c r="AA34" s="230">
        <f t="shared" si="3"/>
        <v>4.5390950582220889E-2</v>
      </c>
      <c r="AB34" s="135"/>
      <c r="AC34" s="181">
        <v>0.69</v>
      </c>
      <c r="AD34" s="230">
        <v>0.80974219530695202</v>
      </c>
      <c r="AE34" s="230">
        <f t="shared" si="4"/>
        <v>0.12887447301318436</v>
      </c>
      <c r="AF34" s="2"/>
      <c r="AG34" s="2"/>
      <c r="AH34" s="162">
        <v>0.32</v>
      </c>
      <c r="AI34" s="159">
        <f t="shared" si="20"/>
        <v>-0.34639999999999999</v>
      </c>
      <c r="AJ34" s="159">
        <f t="shared" si="21"/>
        <v>-0.39807999999999999</v>
      </c>
      <c r="AK34" s="159">
        <f t="shared" si="22"/>
        <v>3.6875199999999997E-2</v>
      </c>
      <c r="AL34" s="159">
        <f t="shared" si="23"/>
        <v>0.33970411519999993</v>
      </c>
      <c r="AM34" s="159">
        <f t="shared" si="24"/>
        <v>0.16856374758400006</v>
      </c>
      <c r="AN34" s="159">
        <f t="shared" si="25"/>
        <v>-0.19099992875007998</v>
      </c>
      <c r="AO34" s="159">
        <f t="shared" si="26"/>
        <v>-0.26209323638604798</v>
      </c>
      <c r="AP34" s="159">
        <f t="shared" si="27"/>
        <v>1.1356913784504097E-2</v>
      </c>
      <c r="AQ34" s="159">
        <f t="shared" si="28"/>
        <v>0.24278891632842203</v>
      </c>
      <c r="AR34" s="153"/>
      <c r="AS34" s="160">
        <f t="shared" si="9"/>
        <v>7.2284779093338303E-2</v>
      </c>
      <c r="AT34" s="154"/>
      <c r="AU34" s="163">
        <v>0.32</v>
      </c>
      <c r="AV34" s="159">
        <f t="shared" si="10"/>
        <v>-0.34639999999999999</v>
      </c>
      <c r="AW34" s="159">
        <f t="shared" si="11"/>
        <v>-0.39807999999999999</v>
      </c>
      <c r="AX34" s="159">
        <f t="shared" si="12"/>
        <v>3.6875199999999997E-2</v>
      </c>
      <c r="AY34" s="159">
        <f t="shared" si="13"/>
        <v>0.33970411519999993</v>
      </c>
      <c r="AZ34" s="159">
        <f t="shared" si="14"/>
        <v>0.16856374758400006</v>
      </c>
      <c r="BA34" s="159">
        <f t="shared" si="15"/>
        <v>-0.19099992875007998</v>
      </c>
      <c r="BB34" s="159">
        <f t="shared" si="16"/>
        <v>-0.26209323638604798</v>
      </c>
      <c r="BC34" s="159">
        <f t="shared" si="17"/>
        <v>1.1356913784504097E-2</v>
      </c>
      <c r="BD34" s="159">
        <f t="shared" si="18"/>
        <v>0.24278891632842203</v>
      </c>
      <c r="BE34" s="157"/>
      <c r="BF34" s="161">
        <f t="shared" si="19"/>
        <v>0.454178661929592</v>
      </c>
      <c r="BG34" s="135"/>
      <c r="BH34" s="135"/>
      <c r="BI34" s="135"/>
      <c r="BJ34" s="135"/>
      <c r="BK34" s="135"/>
      <c r="BL34" s="135"/>
    </row>
    <row r="35" spans="1:64" ht="15">
      <c r="A35" s="135"/>
      <c r="B35" s="179" t="s">
        <v>139</v>
      </c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44"/>
      <c r="N35" s="144"/>
      <c r="O35" s="144"/>
      <c r="P35" s="144"/>
      <c r="Q35" s="146" t="s">
        <v>110</v>
      </c>
      <c r="R35" s="147">
        <f>'3rd Order (Y_Factor)'!D17</f>
        <v>2.4175418116385572E-2</v>
      </c>
      <c r="S35" s="135"/>
      <c r="T35" s="135"/>
      <c r="U35" s="135"/>
      <c r="V35" s="135"/>
      <c r="W35" s="135"/>
      <c r="X35" s="135"/>
      <c r="Y35" s="181">
        <v>0.2</v>
      </c>
      <c r="Z35" s="230">
        <v>0.29905625832017402</v>
      </c>
      <c r="AA35" s="230">
        <f t="shared" si="3"/>
        <v>4.7596281774222447E-2</v>
      </c>
      <c r="AB35" s="135"/>
      <c r="AC35" s="181">
        <v>0.7</v>
      </c>
      <c r="AD35" s="230">
        <v>0.81715499813669701</v>
      </c>
      <c r="AE35" s="230">
        <f t="shared" si="4"/>
        <v>0.13005425722570385</v>
      </c>
      <c r="AF35" s="2"/>
      <c r="AG35" s="2"/>
      <c r="AH35" s="162">
        <v>0.34</v>
      </c>
      <c r="AI35" s="159">
        <f t="shared" si="20"/>
        <v>-0.3266</v>
      </c>
      <c r="AJ35" s="159">
        <f t="shared" si="21"/>
        <v>-0.41173999999999999</v>
      </c>
      <c r="AK35" s="159">
        <f t="shared" si="22"/>
        <v>-3.5300000000071385E-5</v>
      </c>
      <c r="AL35" s="159">
        <f t="shared" si="23"/>
        <v>0.32937039639999999</v>
      </c>
      <c r="AM35" s="159">
        <f t="shared" si="24"/>
        <v>0.20533696375600008</v>
      </c>
      <c r="AN35" s="159">
        <f t="shared" si="25"/>
        <v>-0.15266185694263978</v>
      </c>
      <c r="AO35" s="159">
        <f t="shared" si="26"/>
        <v>-0.27699177708743306</v>
      </c>
      <c r="AP35" s="159">
        <f t="shared" si="27"/>
        <v>-4.2190846224916201E-2</v>
      </c>
      <c r="AQ35" s="159">
        <f t="shared" si="28"/>
        <v>0.22203731271739402</v>
      </c>
      <c r="AR35" s="153"/>
      <c r="AS35" s="160">
        <f t="shared" si="9"/>
        <v>7.6076613402981788E-2</v>
      </c>
      <c r="AT35" s="154"/>
      <c r="AU35" s="163">
        <v>0.34</v>
      </c>
      <c r="AV35" s="159">
        <f t="shared" si="10"/>
        <v>-0.3266</v>
      </c>
      <c r="AW35" s="159">
        <f t="shared" si="11"/>
        <v>-0.41173999999999999</v>
      </c>
      <c r="AX35" s="159">
        <f t="shared" si="12"/>
        <v>-3.5300000000071385E-5</v>
      </c>
      <c r="AY35" s="159">
        <f t="shared" si="13"/>
        <v>0.32937039639999999</v>
      </c>
      <c r="AZ35" s="159">
        <f t="shared" si="14"/>
        <v>0.20533696375600008</v>
      </c>
      <c r="BA35" s="159">
        <f t="shared" si="15"/>
        <v>-0.15266185694263978</v>
      </c>
      <c r="BB35" s="159">
        <f t="shared" si="16"/>
        <v>-0.27699177708743306</v>
      </c>
      <c r="BC35" s="159">
        <f t="shared" si="17"/>
        <v>-4.2190846224916201E-2</v>
      </c>
      <c r="BD35" s="159">
        <f t="shared" si="18"/>
        <v>0.22203731271739402</v>
      </c>
      <c r="BE35" s="157"/>
      <c r="BF35" s="161">
        <f t="shared" si="19"/>
        <v>0.47800345963161905</v>
      </c>
      <c r="BG35" s="135"/>
      <c r="BH35" s="135"/>
      <c r="BI35" s="135"/>
      <c r="BJ35" s="135"/>
      <c r="BK35" s="135"/>
      <c r="BL35" s="135"/>
    </row>
    <row r="36" spans="1:64" ht="15" thickBot="1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44"/>
      <c r="N36" s="144"/>
      <c r="O36" s="144"/>
      <c r="P36" s="144"/>
      <c r="Q36" s="144"/>
      <c r="R36" s="144"/>
      <c r="S36" s="135"/>
      <c r="T36" s="135"/>
      <c r="U36" s="135"/>
      <c r="V36" s="135"/>
      <c r="W36" s="135"/>
      <c r="X36" s="135"/>
      <c r="Y36" s="181">
        <v>0.21</v>
      </c>
      <c r="Z36" s="230">
        <v>0.31277330208934101</v>
      </c>
      <c r="AA36" s="230">
        <f t="shared" si="3"/>
        <v>4.977941709469326E-2</v>
      </c>
      <c r="AB36" s="135"/>
      <c r="AC36" s="181">
        <v>0.71</v>
      </c>
      <c r="AD36" s="230">
        <v>0.82447047700268705</v>
      </c>
      <c r="AE36" s="230">
        <f t="shared" si="4"/>
        <v>0.13121855184831047</v>
      </c>
      <c r="AF36" s="2"/>
      <c r="AG36" s="2"/>
      <c r="AH36" s="162">
        <v>0.36</v>
      </c>
      <c r="AI36" s="159">
        <f t="shared" si="20"/>
        <v>-0.30559999999999998</v>
      </c>
      <c r="AJ36" s="159">
        <f t="shared" si="21"/>
        <v>-0.42336000000000007</v>
      </c>
      <c r="AK36" s="159">
        <f t="shared" si="22"/>
        <v>-3.7516800000000017E-2</v>
      </c>
      <c r="AL36" s="159">
        <f t="shared" si="23"/>
        <v>0.31437711359999992</v>
      </c>
      <c r="AM36" s="159">
        <f t="shared" si="24"/>
        <v>0.23875289497600005</v>
      </c>
      <c r="AN36" s="159">
        <f t="shared" si="25"/>
        <v>-0.10984273330176009</v>
      </c>
      <c r="AO36" s="159">
        <f t="shared" si="26"/>
        <v>-0.28305262808268794</v>
      </c>
      <c r="AP36" s="159">
        <f t="shared" si="27"/>
        <v>-9.4837801939107846E-2</v>
      </c>
      <c r="AQ36" s="159">
        <f t="shared" si="28"/>
        <v>0.18987830874806955</v>
      </c>
      <c r="AR36" s="153"/>
      <c r="AS36" s="160">
        <f t="shared" si="9"/>
        <v>7.9776962538545548E-2</v>
      </c>
      <c r="AT36" s="154"/>
      <c r="AU36" s="163">
        <v>0.36</v>
      </c>
      <c r="AV36" s="159">
        <f t="shared" si="10"/>
        <v>-0.30559999999999998</v>
      </c>
      <c r="AW36" s="159">
        <f t="shared" si="11"/>
        <v>-0.42336000000000007</v>
      </c>
      <c r="AX36" s="159">
        <f t="shared" si="12"/>
        <v>-3.7516800000000017E-2</v>
      </c>
      <c r="AY36" s="159">
        <f t="shared" si="13"/>
        <v>0.31437711359999992</v>
      </c>
      <c r="AZ36" s="159">
        <f t="shared" si="14"/>
        <v>0.23875289497600005</v>
      </c>
      <c r="BA36" s="159">
        <f t="shared" si="15"/>
        <v>-0.10984273330176009</v>
      </c>
      <c r="BB36" s="159">
        <f t="shared" si="16"/>
        <v>-0.28305262808268794</v>
      </c>
      <c r="BC36" s="159">
        <f t="shared" si="17"/>
        <v>-9.4837801939107846E-2</v>
      </c>
      <c r="BD36" s="159">
        <f t="shared" si="18"/>
        <v>0.18987830874806955</v>
      </c>
      <c r="BE36" s="157"/>
      <c r="BF36" s="161">
        <f t="shared" si="19"/>
        <v>0.50125343900822883</v>
      </c>
      <c r="BG36" s="135"/>
      <c r="BH36" s="135"/>
      <c r="BI36" s="135"/>
      <c r="BJ36" s="135"/>
      <c r="BK36" s="135"/>
      <c r="BL36" s="135"/>
    </row>
    <row r="37" spans="1:64" ht="16" thickBot="1">
      <c r="A37" s="135"/>
      <c r="B37" s="218" t="s">
        <v>165</v>
      </c>
      <c r="C37" s="225">
        <f>IF(C29=1,1,IF(C29=0,0,(N43+(N44*$C$29)+N45*(1/2*(3*$C$29^2-1))+N46*(1/2*(5*$C$29^3-3*$C$29))+N47*(1/8*(35*$C$29^4-30*$C$29^2+3))+N48*(1/8*(63*$C$29^5-70*$C$29^3+15*$C$29))+N49*(1/16*(231*$C$29^6-315*$C$29^4+105*$C$29^2-5))+N50*(1/16*(429*$C$29^7-693*$C$29^5+315*$C$29^3-35*$C$29))+N51*(1/128*(6435*$C$29^8-12012*$C$29^6+6930*$C$29^4-1260*$C$29^2+35))+N52*(1/128*(12155*$C$29^9-25740*$C$29^7+18018*$C$29^5-4620*$C$29^3+315*$C$29))+N53*(1/256*(46189*$C$29^10-109395*$C$29^8+90090*$C$29^6-30030*$C$29^4+3465*$C$29^2-63)))))</f>
        <v>0.64852323708820547</v>
      </c>
      <c r="D37" s="133"/>
      <c r="E37" s="135"/>
      <c r="F37" s="2">
        <v>0</v>
      </c>
      <c r="G37" s="131">
        <f>C$37</f>
        <v>0.64852323708820547</v>
      </c>
      <c r="H37" s="131">
        <f>C$40</f>
        <v>0.10321567885161539</v>
      </c>
      <c r="I37" s="131"/>
      <c r="J37" s="135"/>
      <c r="K37" s="135"/>
      <c r="L37" s="135"/>
      <c r="M37" s="144"/>
      <c r="N37" s="144"/>
      <c r="O37" s="144"/>
      <c r="P37" s="144"/>
      <c r="Q37" s="144"/>
      <c r="R37" s="144"/>
      <c r="S37" s="135"/>
      <c r="T37" s="135"/>
      <c r="U37" s="135"/>
      <c r="V37" s="135"/>
      <c r="W37" s="135"/>
      <c r="X37" s="135"/>
      <c r="Y37" s="181">
        <v>0.22</v>
      </c>
      <c r="Z37" s="230">
        <v>0.32634938470897901</v>
      </c>
      <c r="AA37" s="230">
        <f t="shared" si="3"/>
        <v>5.1940117751432612E-2</v>
      </c>
      <c r="AB37" s="135"/>
      <c r="AC37" s="181">
        <v>0.72</v>
      </c>
      <c r="AD37" s="230">
        <v>0.83168999989360304</v>
      </c>
      <c r="AE37" s="230">
        <f t="shared" si="4"/>
        <v>0.13236757460316484</v>
      </c>
      <c r="AF37" s="2"/>
      <c r="AG37" s="2"/>
      <c r="AH37" s="162">
        <v>0.38</v>
      </c>
      <c r="AI37" s="159">
        <f t="shared" si="20"/>
        <v>-0.28339999999999999</v>
      </c>
      <c r="AJ37" s="159">
        <f t="shared" si="21"/>
        <v>-0.43282000000000004</v>
      </c>
      <c r="AK37" s="159">
        <f t="shared" si="22"/>
        <v>-7.5275299999999989E-2</v>
      </c>
      <c r="AL37" s="159">
        <f t="shared" si="23"/>
        <v>0.29476769479999998</v>
      </c>
      <c r="AM37" s="159">
        <f t="shared" si="24"/>
        <v>0.26808424404400011</v>
      </c>
      <c r="AN37" s="159">
        <f t="shared" si="25"/>
        <v>-6.3467143317520014E-2</v>
      </c>
      <c r="AO37" s="159">
        <f t="shared" si="26"/>
        <v>-0.27979405315223282</v>
      </c>
      <c r="AP37" s="159">
        <f t="shared" si="27"/>
        <v>-0.14441471520258509</v>
      </c>
      <c r="AQ37" s="159">
        <f t="shared" si="28"/>
        <v>0.14754722346074356</v>
      </c>
      <c r="AR37" s="153"/>
      <c r="AS37" s="160">
        <f t="shared" si="9"/>
        <v>8.3386735907922921E-2</v>
      </c>
      <c r="AT37" s="154"/>
      <c r="AU37" s="163">
        <v>0.38</v>
      </c>
      <c r="AV37" s="159">
        <f t="shared" si="10"/>
        <v>-0.28339999999999999</v>
      </c>
      <c r="AW37" s="159">
        <f t="shared" si="11"/>
        <v>-0.43282000000000004</v>
      </c>
      <c r="AX37" s="159">
        <f t="shared" si="12"/>
        <v>-7.5275299999999989E-2</v>
      </c>
      <c r="AY37" s="159">
        <f t="shared" si="13"/>
        <v>0.29476769479999998</v>
      </c>
      <c r="AZ37" s="159">
        <f t="shared" si="14"/>
        <v>0.26808424404400011</v>
      </c>
      <c r="BA37" s="159">
        <f t="shared" si="15"/>
        <v>-6.3467143317520014E-2</v>
      </c>
      <c r="BB37" s="159">
        <f t="shared" si="16"/>
        <v>-0.27979405315223282</v>
      </c>
      <c r="BC37" s="159">
        <f t="shared" si="17"/>
        <v>-0.14441471520258509</v>
      </c>
      <c r="BD37" s="159">
        <f t="shared" si="18"/>
        <v>0.14754722346074356</v>
      </c>
      <c r="BE37" s="157"/>
      <c r="BF37" s="161">
        <f t="shared" si="19"/>
        <v>0.52393431403479307</v>
      </c>
      <c r="BG37" s="135"/>
      <c r="BH37" s="135"/>
      <c r="BI37" s="135"/>
      <c r="BJ37" s="135"/>
      <c r="BK37" s="135"/>
      <c r="BL37" s="135"/>
    </row>
    <row r="38" spans="1:64">
      <c r="A38" s="135"/>
      <c r="B38" s="226"/>
      <c r="C38" s="227"/>
      <c r="D38" s="133"/>
      <c r="E38" s="135"/>
      <c r="F38" s="3">
        <f>C$29</f>
        <v>0.5</v>
      </c>
      <c r="G38" s="131">
        <f>C$37</f>
        <v>0.64852323708820547</v>
      </c>
      <c r="H38" s="131">
        <f>C$40</f>
        <v>0.10321567885161539</v>
      </c>
      <c r="I38" s="131"/>
      <c r="J38" s="135"/>
      <c r="K38" s="135"/>
      <c r="L38" s="135"/>
      <c r="M38" s="144"/>
      <c r="N38" s="144"/>
      <c r="O38" s="144"/>
      <c r="P38" s="144"/>
      <c r="Q38" s="144"/>
      <c r="R38" s="144"/>
      <c r="S38" s="135"/>
      <c r="T38" s="135"/>
      <c r="U38" s="135"/>
      <c r="V38" s="135"/>
      <c r="W38" s="135"/>
      <c r="X38" s="135"/>
      <c r="Y38" s="181">
        <v>0.23</v>
      </c>
      <c r="Z38" s="230">
        <v>0.33978324505917001</v>
      </c>
      <c r="AA38" s="230">
        <f t="shared" si="3"/>
        <v>5.4078183030971734E-2</v>
      </c>
      <c r="AB38" s="135"/>
      <c r="AC38" s="181">
        <v>0.73</v>
      </c>
      <c r="AD38" s="230">
        <v>0.83881492269392599</v>
      </c>
      <c r="AE38" s="230">
        <f t="shared" si="4"/>
        <v>0.13350154128598438</v>
      </c>
      <c r="AF38" s="2"/>
      <c r="AG38" s="2"/>
      <c r="AH38" s="162">
        <v>0.4</v>
      </c>
      <c r="AI38" s="159">
        <f t="shared" si="20"/>
        <v>-0.25999999999999995</v>
      </c>
      <c r="AJ38" s="159">
        <f t="shared" si="21"/>
        <v>-0.44000000000000006</v>
      </c>
      <c r="AK38" s="159">
        <f t="shared" si="22"/>
        <v>-0.11300000000000004</v>
      </c>
      <c r="AL38" s="159">
        <f t="shared" si="23"/>
        <v>0.27063999999999988</v>
      </c>
      <c r="AM38" s="159">
        <f t="shared" si="24"/>
        <v>0.29263600000000012</v>
      </c>
      <c r="AN38" s="159">
        <f t="shared" si="25"/>
        <v>-1.4590400000000003E-2</v>
      </c>
      <c r="AO38" s="159">
        <f t="shared" si="26"/>
        <v>-0.26699929999999994</v>
      </c>
      <c r="AP38" s="159">
        <f t="shared" si="27"/>
        <v>-0.18876355999999972</v>
      </c>
      <c r="AQ38" s="159">
        <f t="shared" si="28"/>
        <v>9.6839064399999675E-2</v>
      </c>
      <c r="AR38" s="153"/>
      <c r="AS38" s="160">
        <f t="shared" si="9"/>
        <v>8.690704198978022E-2</v>
      </c>
      <c r="AT38" s="154"/>
      <c r="AU38" s="163">
        <v>0.4</v>
      </c>
      <c r="AV38" s="159">
        <f t="shared" si="10"/>
        <v>-0.25999999999999995</v>
      </c>
      <c r="AW38" s="159">
        <f t="shared" si="11"/>
        <v>-0.44000000000000006</v>
      </c>
      <c r="AX38" s="159">
        <f t="shared" si="12"/>
        <v>-0.11300000000000004</v>
      </c>
      <c r="AY38" s="159">
        <f t="shared" si="13"/>
        <v>0.27063999999999988</v>
      </c>
      <c r="AZ38" s="159">
        <f t="shared" si="14"/>
        <v>0.29263600000000012</v>
      </c>
      <c r="BA38" s="159">
        <f t="shared" si="15"/>
        <v>-1.4590400000000003E-2</v>
      </c>
      <c r="BB38" s="159">
        <f t="shared" si="16"/>
        <v>-0.26699929999999994</v>
      </c>
      <c r="BC38" s="159">
        <f t="shared" si="17"/>
        <v>-0.18876355999999972</v>
      </c>
      <c r="BD38" s="159">
        <f t="shared" si="18"/>
        <v>9.6839064399999675E-2</v>
      </c>
      <c r="BE38" s="157"/>
      <c r="BF38" s="161">
        <f t="shared" si="19"/>
        <v>0.54605304949320799</v>
      </c>
      <c r="BG38" s="135"/>
      <c r="BH38" s="135"/>
      <c r="BI38" s="135"/>
      <c r="BJ38" s="135"/>
      <c r="BK38" s="135"/>
      <c r="BL38" s="135"/>
    </row>
    <row r="39" spans="1:64" ht="15" thickBot="1">
      <c r="A39" s="135"/>
      <c r="B39" s="223"/>
      <c r="C39" s="223"/>
      <c r="D39" s="133"/>
      <c r="E39" s="135"/>
      <c r="F39" s="3">
        <f>C$29</f>
        <v>0.5</v>
      </c>
      <c r="G39" s="131">
        <f>C$37</f>
        <v>0.64852323708820547</v>
      </c>
      <c r="H39" s="131">
        <f>C$40</f>
        <v>0.10321567885161539</v>
      </c>
      <c r="I39" s="131"/>
      <c r="J39" s="135"/>
      <c r="K39" s="135"/>
      <c r="L39" s="135"/>
      <c r="M39" s="144"/>
      <c r="N39" s="144"/>
      <c r="O39" s="144"/>
      <c r="P39" s="144"/>
      <c r="Q39" s="145" t="s">
        <v>91</v>
      </c>
      <c r="R39" s="144"/>
      <c r="S39" s="135"/>
      <c r="T39" s="135"/>
      <c r="U39" s="135"/>
      <c r="V39" s="135"/>
      <c r="W39" s="135"/>
      <c r="X39" s="135"/>
      <c r="Y39" s="181">
        <v>0.24</v>
      </c>
      <c r="Z39" s="230">
        <v>0.35307384485550902</v>
      </c>
      <c r="AA39" s="230">
        <f t="shared" si="3"/>
        <v>5.6193447685215225E-2</v>
      </c>
      <c r="AB39" s="135"/>
      <c r="AC39" s="181">
        <v>0.74</v>
      </c>
      <c r="AD39" s="230">
        <v>0.84584658871336504</v>
      </c>
      <c r="AE39" s="230">
        <f t="shared" si="4"/>
        <v>0.13462066569114942</v>
      </c>
      <c r="AF39" s="2"/>
      <c r="AG39" s="2"/>
      <c r="AH39" s="162">
        <v>0.42</v>
      </c>
      <c r="AI39" s="159">
        <f t="shared" si="20"/>
        <v>-0.23540000000000005</v>
      </c>
      <c r="AJ39" s="159">
        <f t="shared" si="21"/>
        <v>-0.44478000000000006</v>
      </c>
      <c r="AK39" s="159">
        <f t="shared" si="22"/>
        <v>-0.15036329999999987</v>
      </c>
      <c r="AL39" s="159">
        <f t="shared" si="23"/>
        <v>0.24214934520000009</v>
      </c>
      <c r="AM39" s="159">
        <f t="shared" si="24"/>
        <v>0.31175774580399995</v>
      </c>
      <c r="AN39" s="159">
        <f t="shared" si="25"/>
        <v>3.5614460127120107E-2</v>
      </c>
      <c r="AO39" s="159">
        <f t="shared" si="26"/>
        <v>-0.24474164022839306</v>
      </c>
      <c r="AP39" s="159">
        <f t="shared" si="27"/>
        <v>-0.2258189991386319</v>
      </c>
      <c r="AQ39" s="159">
        <f t="shared" si="28"/>
        <v>4.0063914892925379E-2</v>
      </c>
      <c r="AR39" s="153"/>
      <c r="AS39" s="160">
        <f t="shared" si="9"/>
        <v>9.0339157664463404E-2</v>
      </c>
      <c r="AT39" s="154"/>
      <c r="AU39" s="163">
        <v>0.42</v>
      </c>
      <c r="AV39" s="159">
        <f t="shared" si="10"/>
        <v>-0.23540000000000005</v>
      </c>
      <c r="AW39" s="159">
        <f t="shared" si="11"/>
        <v>-0.44478000000000006</v>
      </c>
      <c r="AX39" s="159">
        <f t="shared" si="12"/>
        <v>-0.15036329999999987</v>
      </c>
      <c r="AY39" s="159">
        <f t="shared" si="13"/>
        <v>0.24214934520000009</v>
      </c>
      <c r="AZ39" s="159">
        <f t="shared" si="14"/>
        <v>0.31175774580399995</v>
      </c>
      <c r="BA39" s="159">
        <f t="shared" si="15"/>
        <v>3.5614460127120107E-2</v>
      </c>
      <c r="BB39" s="159">
        <f t="shared" si="16"/>
        <v>-0.24474164022839306</v>
      </c>
      <c r="BC39" s="159">
        <f t="shared" si="17"/>
        <v>-0.2258189991386319</v>
      </c>
      <c r="BD39" s="159">
        <f t="shared" si="18"/>
        <v>4.0063914892925379E-2</v>
      </c>
      <c r="BE39" s="157"/>
      <c r="BF39" s="161">
        <f t="shared" si="19"/>
        <v>0.56761766826967597</v>
      </c>
      <c r="BG39" s="135"/>
      <c r="BH39" s="135"/>
      <c r="BI39" s="135"/>
      <c r="BJ39" s="135"/>
      <c r="BK39" s="135"/>
      <c r="BL39" s="135"/>
    </row>
    <row r="40" spans="1:64" ht="16" thickBot="1">
      <c r="A40" s="135"/>
      <c r="B40" s="218" t="s">
        <v>166</v>
      </c>
      <c r="C40" s="225">
        <f>IF(C29=1,1/(2*PI()),IF(C29=0,0,(O43+(O44*$C$29)+O45*(1/2*(3*$C$29^2-1))+O46*(1/2*(5*$C$29^3-3*$C$29))+O47*(1/8*(35*$C$29^4-30*$C$29^2+3))+O48*(1/8*(63*$C$29^5-70*$C$29^3+15*$C$29))+O49*(1/16*(231*$C$29^6-315*$C$29^4+105*$C$29^2-5))+O50*(1/16*(429*$C$29^7-693*$C$29^5+315*$C$29^3-35*$C$29))+O51*(1/128*(6435*$C$29^8-12012*$C$29^6+6930*$C$29^4-1260*$C$29^2+35))+O52*(1/128*(12155*$C$29^9-25740*$C$29^7+18018*$C$29^5-4620*$C$29^3+315*$C$29))+O53*(1/256*(46189*$C$29^10-109395*$C$29^8+90090*$C$29^6-30030*$C$29^4+3465*$C$29^2-63)))))</f>
        <v>0.10321567885161539</v>
      </c>
      <c r="D40" s="133"/>
      <c r="E40" s="135"/>
      <c r="F40" s="3">
        <f>C$29</f>
        <v>0.5</v>
      </c>
      <c r="G40" s="2">
        <v>0</v>
      </c>
      <c r="H40" s="2">
        <v>0</v>
      </c>
      <c r="I40" s="2"/>
      <c r="J40" s="135"/>
      <c r="K40" s="135"/>
      <c r="L40" s="135"/>
      <c r="M40" s="144"/>
      <c r="N40" s="144"/>
      <c r="O40" s="144"/>
      <c r="P40" s="144"/>
      <c r="Q40" s="144"/>
      <c r="R40" s="144"/>
      <c r="S40" s="135"/>
      <c r="T40" s="135"/>
      <c r="U40" s="135"/>
      <c r="V40" s="135"/>
      <c r="W40" s="135"/>
      <c r="X40" s="135"/>
      <c r="Y40" s="181">
        <v>0.25</v>
      </c>
      <c r="Z40" s="230">
        <v>0.36622035333910302</v>
      </c>
      <c r="AA40" s="230">
        <f t="shared" si="3"/>
        <v>5.8285779494778749E-2</v>
      </c>
      <c r="AB40" s="135"/>
      <c r="AC40" s="181">
        <v>0.75</v>
      </c>
      <c r="AD40" s="230">
        <v>0.85278632826378198</v>
      </c>
      <c r="AE40" s="230">
        <f t="shared" si="4"/>
        <v>0.13572515954436859</v>
      </c>
      <c r="AF40" s="2"/>
      <c r="AG40" s="2"/>
      <c r="AH40" s="162">
        <v>0.44</v>
      </c>
      <c r="AI40" s="159">
        <f t="shared" si="20"/>
        <v>-0.20960000000000001</v>
      </c>
      <c r="AJ40" s="159">
        <f t="shared" si="21"/>
        <v>-0.44704000000000005</v>
      </c>
      <c r="AK40" s="159">
        <f t="shared" si="22"/>
        <v>-0.18702079999999999</v>
      </c>
      <c r="AL40" s="159">
        <f t="shared" si="23"/>
        <v>0.20951152640000004</v>
      </c>
      <c r="AM40" s="164">
        <f t="shared" si="24"/>
        <v>0.32485663129599995</v>
      </c>
      <c r="AN40" s="159">
        <f t="shared" si="25"/>
        <v>8.5872967516159915E-2</v>
      </c>
      <c r="AO40" s="159">
        <f t="shared" si="26"/>
        <v>-0.21340435418316783</v>
      </c>
      <c r="AP40" s="159">
        <f t="shared" si="27"/>
        <v>-0.25369425660215295</v>
      </c>
      <c r="AQ40" s="159">
        <f t="shared" si="28"/>
        <v>-2.0024479754548796E-2</v>
      </c>
      <c r="AR40" s="153"/>
      <c r="AS40" s="160">
        <f t="shared" si="9"/>
        <v>9.368450062887336E-2</v>
      </c>
      <c r="AT40" s="154"/>
      <c r="AU40" s="163">
        <v>0.44</v>
      </c>
      <c r="AV40" s="159">
        <f t="shared" si="10"/>
        <v>-0.20960000000000001</v>
      </c>
      <c r="AW40" s="159">
        <f t="shared" si="11"/>
        <v>-0.44704000000000005</v>
      </c>
      <c r="AX40" s="159">
        <f t="shared" si="12"/>
        <v>-0.18702079999999999</v>
      </c>
      <c r="AY40" s="159">
        <f t="shared" si="13"/>
        <v>0.20951152640000004</v>
      </c>
      <c r="AZ40" s="159">
        <f t="shared" si="14"/>
        <v>0.32485663129599995</v>
      </c>
      <c r="BA40" s="159">
        <f t="shared" si="15"/>
        <v>8.5872967516159915E-2</v>
      </c>
      <c r="BB40" s="159">
        <f t="shared" si="16"/>
        <v>-0.21340435418316783</v>
      </c>
      <c r="BC40" s="159">
        <f t="shared" si="17"/>
        <v>-0.25369425660215295</v>
      </c>
      <c r="BD40" s="159">
        <f t="shared" si="18"/>
        <v>-2.0024479754548796E-2</v>
      </c>
      <c r="BE40" s="157"/>
      <c r="BF40" s="161">
        <f t="shared" si="19"/>
        <v>0.58863707802899612</v>
      </c>
      <c r="BG40" s="135"/>
      <c r="BH40" s="135"/>
      <c r="BI40" s="135"/>
      <c r="BJ40" s="135"/>
      <c r="BK40" s="135"/>
      <c r="BL40" s="135"/>
    </row>
    <row r="41" spans="1:64">
      <c r="A41" s="135"/>
      <c r="B41" s="223"/>
      <c r="C41" s="223"/>
      <c r="D41" s="135"/>
      <c r="E41" s="135"/>
      <c r="F41" s="135"/>
      <c r="G41" s="135"/>
      <c r="H41" s="135"/>
      <c r="I41" s="135"/>
      <c r="J41" s="135"/>
      <c r="K41" s="135"/>
      <c r="L41" s="135"/>
      <c r="M41" s="144"/>
      <c r="N41" s="148" t="s">
        <v>86</v>
      </c>
      <c r="O41" s="148" t="s">
        <v>88</v>
      </c>
      <c r="P41" s="144"/>
      <c r="Q41" s="146" t="s">
        <v>107</v>
      </c>
      <c r="R41" s="147">
        <f>'6th Order (Y_Factor)'!D11</f>
        <v>-1.3699168675884721E-5</v>
      </c>
      <c r="S41" s="135"/>
      <c r="T41" s="135"/>
      <c r="U41" s="135"/>
      <c r="V41" s="135"/>
      <c r="W41" s="135"/>
      <c r="X41" s="135"/>
      <c r="Y41" s="181">
        <v>0.26</v>
      </c>
      <c r="Z41" s="230">
        <v>0.379222132974603</v>
      </c>
      <c r="AA41" s="230">
        <f t="shared" si="3"/>
        <v>6.0355076992760111E-2</v>
      </c>
      <c r="AB41" s="135"/>
      <c r="AC41" s="181">
        <v>0.76</v>
      </c>
      <c r="AD41" s="230">
        <v>0.85963545828063803</v>
      </c>
      <c r="AE41" s="230">
        <f t="shared" si="4"/>
        <v>0.13681523244243032</v>
      </c>
      <c r="AF41" s="2"/>
      <c r="AG41" s="2"/>
      <c r="AH41" s="162">
        <v>0.46</v>
      </c>
      <c r="AI41" s="159">
        <f t="shared" si="20"/>
        <v>-0.18259999999999998</v>
      </c>
      <c r="AJ41" s="159">
        <f t="shared" si="21"/>
        <v>-0.44666000000000006</v>
      </c>
      <c r="AK41" s="159">
        <f t="shared" si="22"/>
        <v>-0.22261130000000007</v>
      </c>
      <c r="AL41" s="159">
        <f t="shared" si="23"/>
        <v>0.17300584360000004</v>
      </c>
      <c r="AM41" s="159">
        <f t="shared" si="24"/>
        <v>0.33141101143599994</v>
      </c>
      <c r="AN41" s="159">
        <f t="shared" si="25"/>
        <v>0.13482896954103984</v>
      </c>
      <c r="AO41" s="159">
        <f t="shared" si="26"/>
        <v>-0.17369464877735274</v>
      </c>
      <c r="AP41" s="159">
        <f t="shared" si="27"/>
        <v>-0.27076932330746906</v>
      </c>
      <c r="AQ41" s="159">
        <f t="shared" si="28"/>
        <v>-8.0327204671110319E-2</v>
      </c>
      <c r="AR41" s="153"/>
      <c r="AS41" s="160">
        <f t="shared" si="9"/>
        <v>9.6944604575018398E-2</v>
      </c>
      <c r="AT41" s="154"/>
      <c r="AU41" s="163">
        <v>0.46</v>
      </c>
      <c r="AV41" s="159">
        <f t="shared" si="10"/>
        <v>-0.18259999999999998</v>
      </c>
      <c r="AW41" s="159">
        <f t="shared" si="11"/>
        <v>-0.44666000000000006</v>
      </c>
      <c r="AX41" s="159">
        <f t="shared" si="12"/>
        <v>-0.22261130000000007</v>
      </c>
      <c r="AY41" s="159">
        <f t="shared" si="13"/>
        <v>0.17300584360000004</v>
      </c>
      <c r="AZ41" s="159">
        <f t="shared" si="14"/>
        <v>0.33141101143599994</v>
      </c>
      <c r="BA41" s="159">
        <f t="shared" si="15"/>
        <v>0.13482896954103984</v>
      </c>
      <c r="BB41" s="159">
        <f t="shared" si="16"/>
        <v>-0.17369464877735274</v>
      </c>
      <c r="BC41" s="159">
        <f t="shared" si="17"/>
        <v>-0.27076932330746906</v>
      </c>
      <c r="BD41" s="159">
        <f t="shared" si="18"/>
        <v>-8.0327204671110319E-2</v>
      </c>
      <c r="BE41" s="157"/>
      <c r="BF41" s="161">
        <f t="shared" si="19"/>
        <v>0.60912091525348178</v>
      </c>
      <c r="BG41" s="135"/>
      <c r="BH41" s="135"/>
      <c r="BI41" s="135"/>
      <c r="BJ41" s="135"/>
      <c r="BK41" s="135"/>
      <c r="BL41" s="135"/>
    </row>
    <row r="42" spans="1:64" ht="15" thickBot="1">
      <c r="A42" s="135"/>
      <c r="B42" s="223"/>
      <c r="C42" s="223"/>
      <c r="D42" s="135"/>
      <c r="E42" s="135"/>
      <c r="F42" s="135"/>
      <c r="G42" s="135"/>
      <c r="H42" s="135"/>
      <c r="I42" s="135"/>
      <c r="J42" s="135"/>
      <c r="K42" s="135"/>
      <c r="L42" s="135"/>
      <c r="M42" s="144"/>
      <c r="N42" s="144"/>
      <c r="O42" s="144"/>
      <c r="P42" s="144"/>
      <c r="Q42" s="144"/>
      <c r="R42" s="144"/>
      <c r="S42" s="135"/>
      <c r="T42" s="135"/>
      <c r="U42" s="135"/>
      <c r="V42" s="135"/>
      <c r="W42" s="135"/>
      <c r="X42" s="135"/>
      <c r="Y42" s="181">
        <v>0.27</v>
      </c>
      <c r="Z42" s="230">
        <v>0.39207872606916699</v>
      </c>
      <c r="AA42" s="230">
        <f t="shared" si="3"/>
        <v>6.2401267335081098E-2</v>
      </c>
      <c r="AB42" s="135"/>
      <c r="AC42" s="181">
        <v>0.77</v>
      </c>
      <c r="AD42" s="230">
        <v>0.86639528198610705</v>
      </c>
      <c r="AE42" s="230">
        <f t="shared" si="4"/>
        <v>0.13789109179958547</v>
      </c>
      <c r="AF42" s="2"/>
      <c r="AG42" s="2"/>
      <c r="AH42" s="162">
        <v>0.48</v>
      </c>
      <c r="AI42" s="159">
        <f t="shared" si="20"/>
        <v>-0.15439999999999998</v>
      </c>
      <c r="AJ42" s="159">
        <f t="shared" si="21"/>
        <v>-0.44351999999999997</v>
      </c>
      <c r="AK42" s="159">
        <f t="shared" si="22"/>
        <v>-0.25675680000000001</v>
      </c>
      <c r="AL42" s="159">
        <f t="shared" si="23"/>
        <v>0.13297812479999993</v>
      </c>
      <c r="AM42" s="159">
        <f t="shared" si="24"/>
        <v>0.33098474982400006</v>
      </c>
      <c r="AN42" s="159">
        <f t="shared" si="25"/>
        <v>0.18106801287168017</v>
      </c>
      <c r="AO42" s="159">
        <f t="shared" si="26"/>
        <v>-0.12665044451148777</v>
      </c>
      <c r="AP42" s="159">
        <f t="shared" si="27"/>
        <v>-0.27577908113190874</v>
      </c>
      <c r="AQ42" s="159">
        <f t="shared" si="28"/>
        <v>-0.13752512193196198</v>
      </c>
      <c r="AR42" s="153"/>
      <c r="AS42" s="160">
        <f t="shared" si="9"/>
        <v>0.10012109690869293</v>
      </c>
      <c r="AT42" s="154"/>
      <c r="AU42" s="163">
        <v>0.48</v>
      </c>
      <c r="AV42" s="159">
        <f t="shared" si="10"/>
        <v>-0.15439999999999998</v>
      </c>
      <c r="AW42" s="159">
        <f t="shared" si="11"/>
        <v>-0.44351999999999997</v>
      </c>
      <c r="AX42" s="159">
        <f t="shared" si="12"/>
        <v>-0.25675680000000001</v>
      </c>
      <c r="AY42" s="159">
        <f t="shared" si="13"/>
        <v>0.13297812479999993</v>
      </c>
      <c r="AZ42" s="159">
        <f t="shared" si="14"/>
        <v>0.33098474982400006</v>
      </c>
      <c r="BA42" s="159">
        <f t="shared" si="15"/>
        <v>0.18106801287168017</v>
      </c>
      <c r="BB42" s="159">
        <f t="shared" si="16"/>
        <v>-0.12665044451148777</v>
      </c>
      <c r="BC42" s="159">
        <f t="shared" si="17"/>
        <v>-0.27577908113190874</v>
      </c>
      <c r="BD42" s="159">
        <f t="shared" si="18"/>
        <v>-0.13752512193196198</v>
      </c>
      <c r="BE42" s="157"/>
      <c r="BF42" s="161">
        <f t="shared" si="19"/>
        <v>0.62907940524243611</v>
      </c>
      <c r="BG42" s="135"/>
      <c r="BH42" s="135"/>
      <c r="BI42" s="135"/>
      <c r="BJ42" s="135"/>
      <c r="BK42" s="135"/>
      <c r="BL42" s="135"/>
    </row>
    <row r="43" spans="1:64" ht="15" thickBot="1">
      <c r="A43" s="135"/>
      <c r="B43" s="218" t="s">
        <v>10</v>
      </c>
      <c r="C43" s="220">
        <f>PI()*C13*C18</f>
        <v>157.07963267948966</v>
      </c>
      <c r="D43" s="140" t="s">
        <v>123</v>
      </c>
      <c r="E43" s="135"/>
      <c r="F43" s="135"/>
      <c r="G43" s="135"/>
      <c r="H43" s="135"/>
      <c r="I43" s="135"/>
      <c r="J43" s="135"/>
      <c r="K43" s="135"/>
      <c r="L43" s="135"/>
      <c r="M43" s="148" t="s">
        <v>103</v>
      </c>
      <c r="N43" s="150">
        <v>4.0369004595671498</v>
      </c>
      <c r="O43" s="150">
        <v>0.64237059136703401</v>
      </c>
      <c r="P43" s="144"/>
      <c r="Q43" s="146" t="s">
        <v>108</v>
      </c>
      <c r="R43" s="147">
        <f>'6th Order (Y_Factor)'!D13</f>
        <v>0.25129716825358628</v>
      </c>
      <c r="S43" s="135"/>
      <c r="T43" s="135"/>
      <c r="U43" s="135"/>
      <c r="V43" s="135"/>
      <c r="W43" s="135"/>
      <c r="X43" s="135"/>
      <c r="Y43" s="181">
        <v>0.28000000000000003</v>
      </c>
      <c r="Z43" s="230">
        <v>0.40478984223719</v>
      </c>
      <c r="AA43" s="230">
        <f t="shared" si="3"/>
        <v>6.4424304305437274E-2</v>
      </c>
      <c r="AB43" s="135"/>
      <c r="AC43" s="181">
        <v>0.78</v>
      </c>
      <c r="AD43" s="230">
        <v>0.87306708859122795</v>
      </c>
      <c r="AE43" s="230">
        <f t="shared" si="4"/>
        <v>0.13895294280014364</v>
      </c>
      <c r="AF43" s="2"/>
      <c r="AG43" s="2"/>
      <c r="AH43" s="162">
        <v>0.5</v>
      </c>
      <c r="AI43" s="159">
        <f t="shared" si="20"/>
        <v>-0.125</v>
      </c>
      <c r="AJ43" s="159">
        <f t="shared" si="21"/>
        <v>-0.4375</v>
      </c>
      <c r="AK43" s="159">
        <f t="shared" si="22"/>
        <v>-0.2890625</v>
      </c>
      <c r="AL43" s="159">
        <f t="shared" si="23"/>
        <v>8.984375E-2</v>
      </c>
      <c r="AM43" s="159">
        <f t="shared" si="24"/>
        <v>0.3232421875</v>
      </c>
      <c r="AN43" s="159">
        <f t="shared" si="25"/>
        <v>0.22314453125</v>
      </c>
      <c r="AO43" s="159">
        <f t="shared" si="26"/>
        <v>-7.3638916015625E-2</v>
      </c>
      <c r="AP43" s="159">
        <f t="shared" si="27"/>
        <v>-0.2678985595703125</v>
      </c>
      <c r="AQ43" s="159">
        <f t="shared" si="28"/>
        <v>-0.18822860717773438</v>
      </c>
      <c r="AR43" s="153"/>
      <c r="AS43" s="160">
        <f t="shared" si="9"/>
        <v>0.10321567885161539</v>
      </c>
      <c r="AT43" s="154"/>
      <c r="AU43" s="163">
        <v>0.5</v>
      </c>
      <c r="AV43" s="159">
        <f t="shared" si="10"/>
        <v>-0.125</v>
      </c>
      <c r="AW43" s="159">
        <f t="shared" si="11"/>
        <v>-0.4375</v>
      </c>
      <c r="AX43" s="159">
        <f t="shared" si="12"/>
        <v>-0.2890625</v>
      </c>
      <c r="AY43" s="159">
        <f t="shared" si="13"/>
        <v>8.984375E-2</v>
      </c>
      <c r="AZ43" s="159">
        <f t="shared" si="14"/>
        <v>0.3232421875</v>
      </c>
      <c r="BA43" s="159">
        <f t="shared" si="15"/>
        <v>0.22314453125</v>
      </c>
      <c r="BB43" s="159">
        <f t="shared" si="16"/>
        <v>-7.3638916015625E-2</v>
      </c>
      <c r="BC43" s="159">
        <f t="shared" si="17"/>
        <v>-0.2678985595703125</v>
      </c>
      <c r="BD43" s="159">
        <f t="shared" si="18"/>
        <v>-0.18822860717773438</v>
      </c>
      <c r="BE43" s="157"/>
      <c r="BF43" s="161">
        <f t="shared" si="19"/>
        <v>0.64852323708820547</v>
      </c>
      <c r="BG43" s="135"/>
      <c r="BH43" s="135"/>
      <c r="BI43" s="135"/>
      <c r="BJ43" s="135"/>
      <c r="BK43" s="135"/>
      <c r="BL43" s="135"/>
    </row>
    <row r="44" spans="1:64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44"/>
      <c r="N44" s="150">
        <v>-9.4076673622550402</v>
      </c>
      <c r="O44" s="150">
        <v>-1.4969531201030899</v>
      </c>
      <c r="P44" s="144"/>
      <c r="Q44" s="144"/>
      <c r="R44" s="144"/>
      <c r="S44" s="135"/>
      <c r="T44" s="135"/>
      <c r="U44" s="135"/>
      <c r="V44" s="135"/>
      <c r="W44" s="135"/>
      <c r="X44" s="135"/>
      <c r="Y44" s="181">
        <v>0.28999999999999998</v>
      </c>
      <c r="Z44" s="230">
        <v>0.41735534664532598</v>
      </c>
      <c r="AA44" s="230">
        <f t="shared" si="3"/>
        <v>6.6424166444435107E-2</v>
      </c>
      <c r="AB44" s="135"/>
      <c r="AC44" s="181">
        <v>0.79</v>
      </c>
      <c r="AD44" s="230">
        <v>0.87965215303454602</v>
      </c>
      <c r="AE44" s="230">
        <f t="shared" si="4"/>
        <v>0.14000098835687638</v>
      </c>
      <c r="AF44" s="2"/>
      <c r="AG44" s="2"/>
      <c r="AH44" s="162">
        <v>0.52</v>
      </c>
      <c r="AI44" s="159">
        <f t="shared" si="20"/>
        <v>-9.4399999999999928E-2</v>
      </c>
      <c r="AJ44" s="159">
        <f t="shared" si="21"/>
        <v>-0.42847999999999997</v>
      </c>
      <c r="AK44" s="159">
        <f t="shared" si="22"/>
        <v>-0.31911679999999998</v>
      </c>
      <c r="AL44" s="159">
        <f t="shared" si="23"/>
        <v>4.4090675200000096E-2</v>
      </c>
      <c r="AM44" s="159">
        <f t="shared" si="24"/>
        <v>0.30796377702400024</v>
      </c>
      <c r="AN44" s="159">
        <f t="shared" si="25"/>
        <v>0.25961301164032013</v>
      </c>
      <c r="AO44" s="159">
        <f t="shared" si="26"/>
        <v>-1.6345618546688367E-2</v>
      </c>
      <c r="AP44" s="159">
        <f t="shared" si="27"/>
        <v>-0.24682215123058526</v>
      </c>
      <c r="AQ44" s="159">
        <f t="shared" si="28"/>
        <v>-0.22914922872380039</v>
      </c>
      <c r="AR44" s="153"/>
      <c r="AS44" s="160">
        <f t="shared" si="9"/>
        <v>0.10623010781133976</v>
      </c>
      <c r="AT44" s="154"/>
      <c r="AU44" s="163">
        <v>0.52</v>
      </c>
      <c r="AV44" s="159">
        <f t="shared" si="10"/>
        <v>-9.4399999999999928E-2</v>
      </c>
      <c r="AW44" s="159">
        <f t="shared" si="11"/>
        <v>-0.42847999999999997</v>
      </c>
      <c r="AX44" s="159">
        <f t="shared" si="12"/>
        <v>-0.31911679999999998</v>
      </c>
      <c r="AY44" s="159">
        <f t="shared" si="13"/>
        <v>4.4090675200000096E-2</v>
      </c>
      <c r="AZ44" s="159">
        <f t="shared" si="14"/>
        <v>0.30796377702400024</v>
      </c>
      <c r="BA44" s="159">
        <f t="shared" si="15"/>
        <v>0.25961301164032013</v>
      </c>
      <c r="BB44" s="159">
        <f t="shared" si="16"/>
        <v>-1.6345618546688367E-2</v>
      </c>
      <c r="BC44" s="159">
        <f t="shared" si="17"/>
        <v>-0.24682215123058526</v>
      </c>
      <c r="BD44" s="159">
        <f t="shared" si="18"/>
        <v>-0.22914922872380039</v>
      </c>
      <c r="BE44" s="157"/>
      <c r="BF44" s="161">
        <f t="shared" si="19"/>
        <v>0.66746345290225373</v>
      </c>
      <c r="BG44" s="135"/>
      <c r="BH44" s="135"/>
      <c r="BI44" s="135"/>
      <c r="BJ44" s="135"/>
      <c r="BK44" s="135"/>
      <c r="BL44" s="135"/>
    </row>
    <row r="45" spans="1:64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49" t="s">
        <v>8</v>
      </c>
      <c r="N45" s="150">
        <v>13.298763228279901</v>
      </c>
      <c r="O45" s="150">
        <v>2.11614370385821</v>
      </c>
      <c r="P45" s="144"/>
      <c r="Q45" s="146" t="s">
        <v>109</v>
      </c>
      <c r="R45" s="147">
        <f>'6th Order (Y_Factor)'!D15</f>
        <v>-2.9316787869902328E-2</v>
      </c>
      <c r="S45" s="135"/>
      <c r="T45" s="135"/>
      <c r="U45" s="135"/>
      <c r="V45" s="135"/>
      <c r="W45" s="135"/>
      <c r="X45" s="135"/>
      <c r="Y45" s="181">
        <v>0.3</v>
      </c>
      <c r="Z45" s="230">
        <v>0.42977524898023001</v>
      </c>
      <c r="AA45" s="230">
        <f t="shared" si="3"/>
        <v>6.8400855293753657E-2</v>
      </c>
      <c r="AB45" s="135"/>
      <c r="AC45" s="181">
        <v>0.8</v>
      </c>
      <c r="AD45" s="230">
        <v>0.88615173575488604</v>
      </c>
      <c r="AE45" s="230">
        <f t="shared" si="4"/>
        <v>0.14103542907485317</v>
      </c>
      <c r="AF45" s="2"/>
      <c r="AG45" s="2"/>
      <c r="AH45" s="162">
        <v>0.54</v>
      </c>
      <c r="AI45" s="159">
        <f t="shared" si="20"/>
        <v>-6.2599999999999989E-2</v>
      </c>
      <c r="AJ45" s="159">
        <f t="shared" si="21"/>
        <v>-0.41633999999999999</v>
      </c>
      <c r="AK45" s="159">
        <f t="shared" si="22"/>
        <v>-0.34649130000000006</v>
      </c>
      <c r="AL45" s="159">
        <f t="shared" si="23"/>
        <v>-3.7175435999998729E-3</v>
      </c>
      <c r="AM45" s="159">
        <f t="shared" si="24"/>
        <v>0.28506238183599986</v>
      </c>
      <c r="AN45" s="159">
        <f t="shared" si="25"/>
        <v>0.28906331172696009</v>
      </c>
      <c r="AO45" s="159">
        <f t="shared" si="26"/>
        <v>4.324701901704664E-2</v>
      </c>
      <c r="AP45" s="159">
        <f t="shared" si="27"/>
        <v>-0.21283320658213167</v>
      </c>
      <c r="AQ45" s="159">
        <f t="shared" si="28"/>
        <v>-0.25728918706861004</v>
      </c>
      <c r="AR45" s="153"/>
      <c r="AS45" s="160">
        <f t="shared" si="9"/>
        <v>0.10916618192224879</v>
      </c>
      <c r="AT45" s="154"/>
      <c r="AU45" s="163">
        <v>0.54</v>
      </c>
      <c r="AV45" s="159">
        <f t="shared" si="10"/>
        <v>-6.2599999999999989E-2</v>
      </c>
      <c r="AW45" s="159">
        <f t="shared" si="11"/>
        <v>-0.41633999999999999</v>
      </c>
      <c r="AX45" s="159">
        <f t="shared" si="12"/>
        <v>-0.34649130000000006</v>
      </c>
      <c r="AY45" s="159">
        <f t="shared" si="13"/>
        <v>-3.7175435999998729E-3</v>
      </c>
      <c r="AZ45" s="159">
        <f t="shared" si="14"/>
        <v>0.28506238183599986</v>
      </c>
      <c r="BA45" s="159">
        <f t="shared" si="15"/>
        <v>0.28906331172696009</v>
      </c>
      <c r="BB45" s="159">
        <f t="shared" si="16"/>
        <v>4.324701901704664E-2</v>
      </c>
      <c r="BC45" s="159">
        <f t="shared" si="17"/>
        <v>-0.21283320658213167</v>
      </c>
      <c r="BD45" s="159">
        <f t="shared" si="18"/>
        <v>-0.25728918706861004</v>
      </c>
      <c r="BE45" s="157"/>
      <c r="BF45" s="161">
        <f t="shared" si="19"/>
        <v>0.68591135068383491</v>
      </c>
      <c r="BG45" s="135"/>
      <c r="BH45" s="135"/>
      <c r="BI45" s="135"/>
      <c r="BJ45" s="135"/>
      <c r="BK45" s="135"/>
      <c r="BL45" s="135"/>
    </row>
    <row r="46" spans="1:64">
      <c r="A46" s="135"/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49" t="s">
        <v>13</v>
      </c>
      <c r="N46" s="150">
        <v>-12.3100463972754</v>
      </c>
      <c r="O46" s="150">
        <v>-1.9588029736175501</v>
      </c>
      <c r="P46" s="144"/>
      <c r="Q46" s="144"/>
      <c r="R46" s="144"/>
      <c r="S46" s="135"/>
      <c r="T46" s="135"/>
      <c r="U46" s="135"/>
      <c r="V46" s="135"/>
      <c r="W46" s="135"/>
      <c r="X46" s="135"/>
      <c r="Y46" s="181">
        <v>0.31</v>
      </c>
      <c r="Z46" s="230">
        <v>0.44204969308792502</v>
      </c>
      <c r="AA46" s="230">
        <f t="shared" si="3"/>
        <v>7.0354393747198513E-2</v>
      </c>
      <c r="AB46" s="135"/>
      <c r="AC46" s="181">
        <v>0.81</v>
      </c>
      <c r="AD46" s="230">
        <v>0.89256708249601602</v>
      </c>
      <c r="AE46" s="230">
        <f t="shared" si="4"/>
        <v>0.14205646322035248</v>
      </c>
      <c r="AF46" s="2"/>
      <c r="AG46" s="2"/>
      <c r="AH46" s="162">
        <v>0.56000000000000005</v>
      </c>
      <c r="AI46" s="159">
        <f t="shared" si="20"/>
        <v>-2.959999999999996E-2</v>
      </c>
      <c r="AJ46" s="159">
        <f t="shared" si="21"/>
        <v>-0.40095999999999998</v>
      </c>
      <c r="AK46" s="159">
        <f t="shared" si="22"/>
        <v>-0.37074080000000009</v>
      </c>
      <c r="AL46" s="159">
        <f t="shared" si="23"/>
        <v>-5.2938726400000302E-2</v>
      </c>
      <c r="AM46" s="159">
        <f t="shared" si="24"/>
        <v>0.25460024089599997</v>
      </c>
      <c r="AN46" s="159">
        <f t="shared" si="25"/>
        <v>0.31016030173184017</v>
      </c>
      <c r="AO46" s="159">
        <f t="shared" si="26"/>
        <v>0.1028931060344318</v>
      </c>
      <c r="AP46" s="159">
        <f t="shared" si="27"/>
        <v>-0.16686000493410424</v>
      </c>
      <c r="AQ46" s="159">
        <f t="shared" si="28"/>
        <v>-0.27014284068087413</v>
      </c>
      <c r="AR46" s="153"/>
      <c r="AS46" s="160">
        <f t="shared" si="9"/>
        <v>0.11202572666188834</v>
      </c>
      <c r="AT46" s="154"/>
      <c r="AU46" s="163">
        <v>0.56000000000000005</v>
      </c>
      <c r="AV46" s="159">
        <f t="shared" si="10"/>
        <v>-2.959999999999996E-2</v>
      </c>
      <c r="AW46" s="159">
        <f t="shared" si="11"/>
        <v>-0.40095999999999998</v>
      </c>
      <c r="AX46" s="159">
        <f t="shared" si="12"/>
        <v>-0.37074080000000009</v>
      </c>
      <c r="AY46" s="159">
        <f t="shared" si="13"/>
        <v>-5.2938726400000302E-2</v>
      </c>
      <c r="AZ46" s="159">
        <f t="shared" si="14"/>
        <v>0.25460024089599997</v>
      </c>
      <c r="BA46" s="159">
        <f t="shared" si="15"/>
        <v>0.31016030173184017</v>
      </c>
      <c r="BB46" s="159">
        <f t="shared" si="16"/>
        <v>0.1028931060344318</v>
      </c>
      <c r="BC46" s="159">
        <f t="shared" si="17"/>
        <v>-0.16686000493410424</v>
      </c>
      <c r="BD46" s="159">
        <f t="shared" si="18"/>
        <v>-0.27014284068087413</v>
      </c>
      <c r="BE46" s="157"/>
      <c r="BF46" s="161">
        <f t="shared" si="19"/>
        <v>0.70387840022969339</v>
      </c>
      <c r="BG46" s="135"/>
      <c r="BH46" s="135"/>
      <c r="BI46" s="135"/>
      <c r="BJ46" s="135"/>
      <c r="BK46" s="135"/>
      <c r="BL46" s="135"/>
    </row>
    <row r="47" spans="1:64" ht="15" thickBot="1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49" t="s">
        <v>6</v>
      </c>
      <c r="N47" s="150">
        <v>8.65479699371617</v>
      </c>
      <c r="O47" s="150">
        <v>1.3771472265542199</v>
      </c>
      <c r="P47" s="144"/>
      <c r="Q47" s="146" t="s">
        <v>110</v>
      </c>
      <c r="R47" s="147">
        <f>'6th Order (Y_Factor)'!D17</f>
        <v>-0.24638094758847728</v>
      </c>
      <c r="S47" s="135"/>
      <c r="T47" s="135"/>
      <c r="U47" s="135"/>
      <c r="V47" s="135"/>
      <c r="W47" s="135"/>
      <c r="X47" s="135"/>
      <c r="Y47" s="181">
        <v>0.32</v>
      </c>
      <c r="Z47" s="230">
        <v>0.45417894723910901</v>
      </c>
      <c r="AA47" s="230">
        <f t="shared" si="3"/>
        <v>7.2284824501377326E-2</v>
      </c>
      <c r="AB47" s="135"/>
      <c r="AC47" s="181">
        <v>0.82</v>
      </c>
      <c r="AD47" s="230">
        <v>0.89889942414107704</v>
      </c>
      <c r="AE47" s="230">
        <f t="shared" si="4"/>
        <v>0.1430642866945106</v>
      </c>
      <c r="AF47" s="2"/>
      <c r="AG47" s="2"/>
      <c r="AH47" s="162">
        <v>0.57999999999999996</v>
      </c>
      <c r="AI47" s="159">
        <f t="shared" si="20"/>
        <v>4.5999999999999375E-3</v>
      </c>
      <c r="AJ47" s="159">
        <f t="shared" si="21"/>
        <v>-0.38221999999999995</v>
      </c>
      <c r="AK47" s="159">
        <f t="shared" si="22"/>
        <v>-0.3914032999999999</v>
      </c>
      <c r="AL47" s="159">
        <f t="shared" si="23"/>
        <v>-0.10284904520000016</v>
      </c>
      <c r="AM47" s="159">
        <f t="shared" si="24"/>
        <v>0.2168065986040002</v>
      </c>
      <c r="AN47" s="159">
        <f t="shared" si="25"/>
        <v>0.32168800352487992</v>
      </c>
      <c r="AO47" s="159">
        <f t="shared" si="26"/>
        <v>0.16012993005480691</v>
      </c>
      <c r="AP47" s="159">
        <f t="shared" si="27"/>
        <v>-0.11051365753984976</v>
      </c>
      <c r="AQ47" s="159">
        <f t="shared" si="28"/>
        <v>-0.26590298765824105</v>
      </c>
      <c r="AR47" s="153"/>
      <c r="AS47" s="160">
        <f t="shared" si="9"/>
        <v>0.1148105834337034</v>
      </c>
      <c r="AT47" s="154"/>
      <c r="AU47" s="163">
        <v>0.57999999999999996</v>
      </c>
      <c r="AV47" s="159">
        <f t="shared" si="10"/>
        <v>4.5999999999999375E-3</v>
      </c>
      <c r="AW47" s="159">
        <f t="shared" si="11"/>
        <v>-0.38221999999999995</v>
      </c>
      <c r="AX47" s="159">
        <f t="shared" si="12"/>
        <v>-0.3914032999999999</v>
      </c>
      <c r="AY47" s="159">
        <f t="shared" si="13"/>
        <v>-0.10284904520000016</v>
      </c>
      <c r="AZ47" s="159">
        <f t="shared" si="14"/>
        <v>0.2168065986040002</v>
      </c>
      <c r="BA47" s="159">
        <f t="shared" si="15"/>
        <v>0.32168800352487992</v>
      </c>
      <c r="BB47" s="159">
        <f t="shared" si="16"/>
        <v>0.16012993005480691</v>
      </c>
      <c r="BC47" s="159">
        <f t="shared" si="17"/>
        <v>-0.11051365753984976</v>
      </c>
      <c r="BD47" s="159">
        <f t="shared" si="18"/>
        <v>-0.26590298765824105</v>
      </c>
      <c r="BE47" s="157"/>
      <c r="BF47" s="161">
        <f t="shared" si="19"/>
        <v>0.72137617140013022</v>
      </c>
      <c r="BG47" s="135"/>
      <c r="BH47" s="135"/>
      <c r="BI47" s="135"/>
      <c r="BJ47" s="135"/>
      <c r="BK47" s="135"/>
      <c r="BL47" s="135"/>
    </row>
    <row r="48" spans="1:64">
      <c r="A48" s="135"/>
      <c r="B48" s="240" t="s">
        <v>100</v>
      </c>
      <c r="C48" s="241"/>
      <c r="D48" s="135"/>
      <c r="E48" s="135"/>
      <c r="F48" s="135"/>
      <c r="G48" s="135"/>
      <c r="H48" s="135"/>
      <c r="I48" s="135"/>
      <c r="J48" s="135"/>
      <c r="K48" s="135"/>
      <c r="L48" s="135"/>
      <c r="M48" s="149" t="s">
        <v>14</v>
      </c>
      <c r="N48" s="150">
        <v>-4.8682230188865496</v>
      </c>
      <c r="O48" s="150">
        <v>-0.774611287181733</v>
      </c>
      <c r="P48" s="144"/>
      <c r="Q48" s="144"/>
      <c r="R48" s="144"/>
      <c r="S48" s="135"/>
      <c r="T48" s="135"/>
      <c r="U48" s="135"/>
      <c r="V48" s="135"/>
      <c r="W48" s="135"/>
      <c r="X48" s="135"/>
      <c r="Y48" s="181">
        <v>0.33</v>
      </c>
      <c r="Z48" s="230">
        <v>0.46616339497925502</v>
      </c>
      <c r="AA48" s="230">
        <f t="shared" si="3"/>
        <v>7.419220859944807E-2</v>
      </c>
      <c r="AB48" s="135"/>
      <c r="AC48" s="181">
        <v>0.83</v>
      </c>
      <c r="AD48" s="230">
        <v>0.90514997657479601</v>
      </c>
      <c r="AE48" s="230">
        <f t="shared" si="4"/>
        <v>0.14405909301139205</v>
      </c>
      <c r="AF48" s="2"/>
      <c r="AG48" s="2"/>
      <c r="AH48" s="162">
        <v>0.6</v>
      </c>
      <c r="AI48" s="159">
        <f t="shared" si="20"/>
        <v>4.0000000000000036E-2</v>
      </c>
      <c r="AJ48" s="159">
        <f t="shared" si="21"/>
        <v>-0.35999999999999988</v>
      </c>
      <c r="AK48" s="159">
        <f t="shared" si="22"/>
        <v>-0.40799999999999992</v>
      </c>
      <c r="AL48" s="159">
        <f t="shared" si="23"/>
        <v>-0.15263999999999989</v>
      </c>
      <c r="AM48" s="159">
        <f t="shared" si="24"/>
        <v>0.1720959999999998</v>
      </c>
      <c r="AN48" s="159">
        <f t="shared" si="25"/>
        <v>0.3225984000000004</v>
      </c>
      <c r="AO48" s="159">
        <f t="shared" si="26"/>
        <v>0.21233919999999973</v>
      </c>
      <c r="AP48" s="159">
        <f t="shared" si="27"/>
        <v>-4.6103040000001094E-2</v>
      </c>
      <c r="AQ48" s="159">
        <f t="shared" si="28"/>
        <v>-0.2436627456000009</v>
      </c>
      <c r="AR48" s="153"/>
      <c r="AS48" s="160">
        <f t="shared" si="9"/>
        <v>0.11752259998388699</v>
      </c>
      <c r="AT48" s="154"/>
      <c r="AU48" s="163">
        <v>0.6</v>
      </c>
      <c r="AV48" s="159">
        <f t="shared" si="10"/>
        <v>4.0000000000000036E-2</v>
      </c>
      <c r="AW48" s="159">
        <f t="shared" si="11"/>
        <v>-0.35999999999999988</v>
      </c>
      <c r="AX48" s="159">
        <f t="shared" si="12"/>
        <v>-0.40799999999999992</v>
      </c>
      <c r="AY48" s="159">
        <f t="shared" si="13"/>
        <v>-0.15263999999999989</v>
      </c>
      <c r="AZ48" s="159">
        <f t="shared" si="14"/>
        <v>0.1720959999999998</v>
      </c>
      <c r="BA48" s="159">
        <f t="shared" si="15"/>
        <v>0.3225984000000004</v>
      </c>
      <c r="BB48" s="159">
        <f t="shared" si="16"/>
        <v>0.21233919999999973</v>
      </c>
      <c r="BC48" s="159">
        <f t="shared" si="17"/>
        <v>-4.6103040000001094E-2</v>
      </c>
      <c r="BD48" s="159">
        <f t="shared" si="18"/>
        <v>-0.2436627456000009</v>
      </c>
      <c r="BE48" s="157"/>
      <c r="BF48" s="161">
        <f t="shared" si="19"/>
        <v>0.73841627390986131</v>
      </c>
      <c r="BG48" s="135"/>
      <c r="BH48" s="135"/>
      <c r="BI48" s="135"/>
      <c r="BJ48" s="135"/>
      <c r="BK48" s="135"/>
      <c r="BL48" s="135"/>
    </row>
    <row r="49" spans="1:64" ht="15" thickBot="1">
      <c r="A49" s="135"/>
      <c r="B49" s="242"/>
      <c r="C49" s="243"/>
      <c r="D49" s="135"/>
      <c r="E49" s="135"/>
      <c r="F49" s="135"/>
      <c r="G49" s="135"/>
      <c r="H49" s="135"/>
      <c r="I49" s="135"/>
      <c r="J49" s="135"/>
      <c r="K49" s="135"/>
      <c r="L49" s="135"/>
      <c r="M49" s="149" t="s">
        <v>15</v>
      </c>
      <c r="N49" s="150">
        <v>2.2111041596332299</v>
      </c>
      <c r="O49" s="150">
        <v>0.35181211398255002</v>
      </c>
      <c r="P49" s="144"/>
      <c r="Q49" s="146" t="s">
        <v>111</v>
      </c>
      <c r="R49" s="147">
        <f>'6th Order (Y_Factor)'!D19</f>
        <v>0.34678762138355523</v>
      </c>
      <c r="S49" s="135"/>
      <c r="T49" s="135"/>
      <c r="U49" s="135"/>
      <c r="V49" s="135"/>
      <c r="W49" s="135"/>
      <c r="X49" s="135"/>
      <c r="Y49" s="181">
        <v>0.34</v>
      </c>
      <c r="Z49" s="230">
        <v>0.47800352652616301</v>
      </c>
      <c r="AA49" s="230">
        <f t="shared" si="3"/>
        <v>7.6076624061996764E-2</v>
      </c>
      <c r="AB49" s="135"/>
      <c r="AC49" s="181">
        <v>0.84</v>
      </c>
      <c r="AD49" s="230">
        <v>0.91131994057159305</v>
      </c>
      <c r="AE49" s="230">
        <f t="shared" si="4"/>
        <v>0.14504107328018134</v>
      </c>
      <c r="AF49" s="2"/>
      <c r="AG49" s="2"/>
      <c r="AH49" s="162">
        <v>0.62</v>
      </c>
      <c r="AI49" s="159">
        <f t="shared" si="20"/>
        <v>7.6600000000000001E-2</v>
      </c>
      <c r="AJ49" s="159">
        <f t="shared" si="21"/>
        <v>-0.33417999999999992</v>
      </c>
      <c r="AK49" s="159">
        <f t="shared" si="22"/>
        <v>-0.4200353</v>
      </c>
      <c r="AL49" s="159">
        <f t="shared" si="23"/>
        <v>-0.20141539480000015</v>
      </c>
      <c r="AM49" s="159">
        <f t="shared" si="24"/>
        <v>0.12108725124399999</v>
      </c>
      <c r="AN49" s="159">
        <f t="shared" si="25"/>
        <v>0.31206508768952079</v>
      </c>
      <c r="AO49" s="159">
        <f t="shared" si="26"/>
        <v>0.2568243196005664</v>
      </c>
      <c r="AP49" s="159">
        <f t="shared" si="27"/>
        <v>2.3378625230424444E-2</v>
      </c>
      <c r="AQ49" s="159">
        <f t="shared" si="28"/>
        <v>-0.2036018671190698</v>
      </c>
      <c r="AR49" s="153"/>
      <c r="AS49" s="160">
        <f t="shared" si="9"/>
        <v>0.12016362249037718</v>
      </c>
      <c r="AT49" s="154"/>
      <c r="AU49" s="163">
        <v>0.62</v>
      </c>
      <c r="AV49" s="159">
        <f t="shared" si="10"/>
        <v>7.6600000000000001E-2</v>
      </c>
      <c r="AW49" s="159">
        <f t="shared" si="11"/>
        <v>-0.33417999999999992</v>
      </c>
      <c r="AX49" s="159">
        <f t="shared" si="12"/>
        <v>-0.4200353</v>
      </c>
      <c r="AY49" s="159">
        <f t="shared" si="13"/>
        <v>-0.20141539480000015</v>
      </c>
      <c r="AZ49" s="159">
        <f t="shared" si="14"/>
        <v>0.12108725124399999</v>
      </c>
      <c r="BA49" s="159">
        <f t="shared" si="15"/>
        <v>0.31206508768952079</v>
      </c>
      <c r="BB49" s="159">
        <f t="shared" si="16"/>
        <v>0.2568243196005664</v>
      </c>
      <c r="BC49" s="159">
        <f t="shared" si="17"/>
        <v>2.3378625230424444E-2</v>
      </c>
      <c r="BD49" s="159">
        <f t="shared" si="18"/>
        <v>-0.2036018671190698</v>
      </c>
      <c r="BE49" s="157"/>
      <c r="BF49" s="161">
        <f t="shared" si="19"/>
        <v>0.75501030762557697</v>
      </c>
      <c r="BG49" s="135"/>
      <c r="BH49" s="135"/>
      <c r="BI49" s="135"/>
      <c r="BJ49" s="135"/>
      <c r="BK49" s="135"/>
      <c r="BL49" s="135"/>
    </row>
    <row r="50" spans="1:64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49" t="s">
        <v>16</v>
      </c>
      <c r="N50" s="150">
        <v>-0.795055773990062</v>
      </c>
      <c r="O50" s="150">
        <v>-0.12649865876063299</v>
      </c>
      <c r="P50" s="144"/>
      <c r="Q50" s="144"/>
      <c r="R50" s="144"/>
      <c r="S50" s="135"/>
      <c r="T50" s="135"/>
      <c r="U50" s="135"/>
      <c r="V50" s="135"/>
      <c r="W50" s="135"/>
      <c r="X50" s="135"/>
      <c r="Y50" s="181">
        <v>0.35</v>
      </c>
      <c r="Z50" s="230">
        <v>0.48969993068094397</v>
      </c>
      <c r="AA50" s="230">
        <f t="shared" si="3"/>
        <v>7.7938164599630738E-2</v>
      </c>
      <c r="AB50" s="135"/>
      <c r="AC50" s="181">
        <v>0.85</v>
      </c>
      <c r="AD50" s="230">
        <v>0.91741050170781802</v>
      </c>
      <c r="AE50" s="230">
        <f t="shared" si="4"/>
        <v>0.14601041619121494</v>
      </c>
      <c r="AF50" s="2"/>
      <c r="AG50" s="2"/>
      <c r="AH50" s="162">
        <v>0.64</v>
      </c>
      <c r="AI50" s="159">
        <f t="shared" si="20"/>
        <v>0.11440000000000006</v>
      </c>
      <c r="AJ50" s="159">
        <f t="shared" si="21"/>
        <v>-0.3046399999999998</v>
      </c>
      <c r="AK50" s="159">
        <f t="shared" si="22"/>
        <v>-0.42699680000000007</v>
      </c>
      <c r="AL50" s="159">
        <f t="shared" si="23"/>
        <v>-0.24818831360000027</v>
      </c>
      <c r="AM50" s="159">
        <f t="shared" si="24"/>
        <v>6.4623045376000388E-2</v>
      </c>
      <c r="AN50" s="159">
        <f t="shared" si="25"/>
        <v>0.28954194558976076</v>
      </c>
      <c r="AO50" s="159">
        <f t="shared" si="26"/>
        <v>0.29090517000371285</v>
      </c>
      <c r="AP50" s="159">
        <f t="shared" si="27"/>
        <v>9.4301409435808337E-2</v>
      </c>
      <c r="AQ50" s="159">
        <f t="shared" si="28"/>
        <v>-0.14714413912939328</v>
      </c>
      <c r="AR50" s="153"/>
      <c r="AS50" s="160">
        <f t="shared" si="9"/>
        <v>0.12273548913006353</v>
      </c>
      <c r="AT50" s="154"/>
      <c r="AU50" s="163">
        <v>0.64</v>
      </c>
      <c r="AV50" s="159">
        <f t="shared" si="10"/>
        <v>0.11440000000000006</v>
      </c>
      <c r="AW50" s="159">
        <f t="shared" si="11"/>
        <v>-0.3046399999999998</v>
      </c>
      <c r="AX50" s="159">
        <f t="shared" si="12"/>
        <v>-0.42699680000000007</v>
      </c>
      <c r="AY50" s="159">
        <f t="shared" si="13"/>
        <v>-0.24818831360000027</v>
      </c>
      <c r="AZ50" s="159">
        <f t="shared" si="14"/>
        <v>6.4623045376000388E-2</v>
      </c>
      <c r="BA50" s="159">
        <f t="shared" si="15"/>
        <v>0.28954194558976076</v>
      </c>
      <c r="BB50" s="159">
        <f t="shared" si="16"/>
        <v>0.29090517000371285</v>
      </c>
      <c r="BC50" s="159">
        <f t="shared" si="17"/>
        <v>9.4301409435808337E-2</v>
      </c>
      <c r="BD50" s="159">
        <f t="shared" si="18"/>
        <v>-0.14714413912939328</v>
      </c>
      <c r="BE50" s="157"/>
      <c r="BF50" s="161">
        <f t="shared" si="19"/>
        <v>0.77116982215108221</v>
      </c>
      <c r="BG50" s="135"/>
      <c r="BH50" s="135"/>
      <c r="BI50" s="135"/>
      <c r="BJ50" s="135"/>
      <c r="BK50" s="135"/>
      <c r="BL50" s="135"/>
    </row>
    <row r="51" spans="1:64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49" t="s">
        <v>94</v>
      </c>
      <c r="N51" s="150">
        <v>0.215065360330296</v>
      </c>
      <c r="O51" s="150">
        <v>3.4217124497302E-2</v>
      </c>
      <c r="P51" s="144"/>
      <c r="Q51" s="146" t="s">
        <v>112</v>
      </c>
      <c r="R51" s="147">
        <f>'6th Order (Y_Factor)'!D21</f>
        <v>-0.21871692722197622</v>
      </c>
      <c r="S51" s="135"/>
      <c r="T51" s="135"/>
      <c r="U51" s="135"/>
      <c r="V51" s="135"/>
      <c r="W51" s="135"/>
      <c r="X51" s="135"/>
      <c r="Y51" s="181">
        <v>0.36</v>
      </c>
      <c r="Z51" s="230">
        <v>0.501253287221199</v>
      </c>
      <c r="AA51" s="230">
        <f t="shared" si="3"/>
        <v>7.9776938402315395E-2</v>
      </c>
      <c r="AB51" s="135"/>
      <c r="AC51" s="181">
        <v>0.86</v>
      </c>
      <c r="AD51" s="230">
        <v>0.92342283029644701</v>
      </c>
      <c r="AE51" s="230">
        <f t="shared" si="4"/>
        <v>0.14696730800558797</v>
      </c>
      <c r="AF51" s="2"/>
      <c r="AG51" s="2"/>
      <c r="AH51" s="162">
        <v>0.66</v>
      </c>
      <c r="AI51" s="159">
        <f t="shared" si="20"/>
        <v>0.15340000000000009</v>
      </c>
      <c r="AJ51" s="159">
        <f t="shared" si="21"/>
        <v>-0.27125999999999995</v>
      </c>
      <c r="AK51" s="159">
        <f t="shared" si="22"/>
        <v>-0.42835529999999999</v>
      </c>
      <c r="AL51" s="159">
        <f t="shared" si="23"/>
        <v>-0.29187809640000006</v>
      </c>
      <c r="AM51" s="159">
        <f t="shared" si="24"/>
        <v>3.7902533560001395E-3</v>
      </c>
      <c r="AN51" s="159">
        <f t="shared" si="25"/>
        <v>0.25482699317063906</v>
      </c>
      <c r="AO51" s="159">
        <f t="shared" si="26"/>
        <v>0.31203193236216542</v>
      </c>
      <c r="AP51" s="159">
        <f t="shared" si="27"/>
        <v>0.1624869261931583</v>
      </c>
      <c r="AQ51" s="159">
        <f t="shared" si="28"/>
        <v>-7.7070133679733921E-2</v>
      </c>
      <c r="AR51" s="153"/>
      <c r="AS51" s="160">
        <f t="shared" si="9"/>
        <v>0.12524002489987529</v>
      </c>
      <c r="AT51" s="154"/>
      <c r="AU51" s="163">
        <v>0.66</v>
      </c>
      <c r="AV51" s="159">
        <f t="shared" si="10"/>
        <v>0.15340000000000009</v>
      </c>
      <c r="AW51" s="159">
        <f t="shared" si="11"/>
        <v>-0.27125999999999995</v>
      </c>
      <c r="AX51" s="159">
        <f t="shared" si="12"/>
        <v>-0.42835529999999999</v>
      </c>
      <c r="AY51" s="159">
        <f t="shared" si="13"/>
        <v>-0.29187809640000006</v>
      </c>
      <c r="AZ51" s="159">
        <f t="shared" si="14"/>
        <v>3.7902533560001395E-3</v>
      </c>
      <c r="BA51" s="159">
        <f t="shared" si="15"/>
        <v>0.25482699317063906</v>
      </c>
      <c r="BB51" s="159">
        <f t="shared" si="16"/>
        <v>0.31203193236216542</v>
      </c>
      <c r="BC51" s="159">
        <f t="shared" si="17"/>
        <v>0.1624869261931583</v>
      </c>
      <c r="BD51" s="159">
        <f t="shared" si="18"/>
        <v>-7.7070133679733921E-2</v>
      </c>
      <c r="BE51" s="157"/>
      <c r="BF51" s="161">
        <f t="shared" si="19"/>
        <v>0.7869062842898944</v>
      </c>
      <c r="BG51" s="135"/>
      <c r="BH51" s="135"/>
      <c r="BI51" s="135"/>
      <c r="BJ51" s="135"/>
      <c r="BK51" s="135"/>
      <c r="BL51" s="135"/>
    </row>
    <row r="52" spans="1:64" ht="15">
      <c r="A52" s="135"/>
      <c r="B52" s="171" t="s">
        <v>98</v>
      </c>
      <c r="C52" s="133"/>
      <c r="D52" s="133"/>
      <c r="E52" s="135"/>
      <c r="F52" s="135"/>
      <c r="G52" s="135"/>
      <c r="H52" s="135"/>
      <c r="I52" s="135"/>
      <c r="J52" s="135"/>
      <c r="K52" s="135"/>
      <c r="L52" s="135"/>
      <c r="M52" s="148" t="s">
        <v>95</v>
      </c>
      <c r="N52" s="150">
        <v>-3.93204397241474E-2</v>
      </c>
      <c r="O52" s="150">
        <v>-6.2556548430781596E-3</v>
      </c>
      <c r="P52" s="144"/>
      <c r="Q52" s="144"/>
      <c r="R52" s="144"/>
      <c r="S52" s="135"/>
      <c r="T52" s="135"/>
      <c r="U52" s="135"/>
      <c r="V52" s="135"/>
      <c r="W52" s="135"/>
      <c r="X52" s="135"/>
      <c r="Y52" s="181">
        <v>0.37</v>
      </c>
      <c r="Z52" s="230">
        <v>0.51266435974763802</v>
      </c>
      <c r="AA52" s="230">
        <f t="shared" si="3"/>
        <v>8.1593067000878289E-2</v>
      </c>
      <c r="AB52" s="135"/>
      <c r="AC52" s="181">
        <v>0.87</v>
      </c>
      <c r="AD52" s="230">
        <v>0.92935808134265396</v>
      </c>
      <c r="AE52" s="230">
        <f t="shared" si="4"/>
        <v>0.14791193254808313</v>
      </c>
      <c r="AF52" s="2"/>
      <c r="AG52" s="2"/>
      <c r="AH52" s="162">
        <v>0.68</v>
      </c>
      <c r="AI52" s="159">
        <f t="shared" si="20"/>
        <v>0.19360000000000011</v>
      </c>
      <c r="AJ52" s="159">
        <f t="shared" si="21"/>
        <v>-0.23391999999999979</v>
      </c>
      <c r="AK52" s="159">
        <f t="shared" si="22"/>
        <v>-0.42356480000000007</v>
      </c>
      <c r="AL52" s="159">
        <f t="shared" si="23"/>
        <v>-0.33130731520000012</v>
      </c>
      <c r="AM52" s="159">
        <f t="shared" si="24"/>
        <v>-6.0059119616000523E-2</v>
      </c>
      <c r="AN52" s="159">
        <f t="shared" si="25"/>
        <v>0.20813161054208051</v>
      </c>
      <c r="AO52" s="159">
        <f t="shared" si="26"/>
        <v>0.31791953310515009</v>
      </c>
      <c r="AP52" s="159">
        <f t="shared" si="27"/>
        <v>0.22334410203987765</v>
      </c>
      <c r="AQ52" s="159">
        <f t="shared" si="28"/>
        <v>2.4330000408880892E-3</v>
      </c>
      <c r="AR52" s="153"/>
      <c r="AS52" s="160">
        <f t="shared" si="9"/>
        <v>0.12767903744252018</v>
      </c>
      <c r="AT52" s="154"/>
      <c r="AU52" s="163">
        <v>0.68</v>
      </c>
      <c r="AV52" s="159">
        <f t="shared" si="10"/>
        <v>0.19360000000000011</v>
      </c>
      <c r="AW52" s="159">
        <f t="shared" si="11"/>
        <v>-0.23391999999999979</v>
      </c>
      <c r="AX52" s="159">
        <f t="shared" si="12"/>
        <v>-0.42356480000000007</v>
      </c>
      <c r="AY52" s="159">
        <f t="shared" si="13"/>
        <v>-0.33130731520000012</v>
      </c>
      <c r="AZ52" s="159">
        <f t="shared" si="14"/>
        <v>-6.0059119616000523E-2</v>
      </c>
      <c r="BA52" s="159">
        <f t="shared" si="15"/>
        <v>0.20813161054208051</v>
      </c>
      <c r="BB52" s="159">
        <f t="shared" si="16"/>
        <v>0.31791953310515009</v>
      </c>
      <c r="BC52" s="159">
        <f t="shared" si="17"/>
        <v>0.22334410203987765</v>
      </c>
      <c r="BD52" s="159">
        <f t="shared" si="18"/>
        <v>2.4330000408880892E-3</v>
      </c>
      <c r="BE52" s="157"/>
      <c r="BF52" s="161">
        <f t="shared" si="19"/>
        <v>0.802231051818735</v>
      </c>
      <c r="BG52" s="135"/>
      <c r="BH52" s="135"/>
      <c r="BI52" s="135"/>
      <c r="BJ52" s="135"/>
      <c r="BK52" s="135"/>
      <c r="BL52" s="135"/>
    </row>
    <row r="53" spans="1:64" ht="15" thickBot="1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48" t="s">
        <v>93</v>
      </c>
      <c r="N53" s="150">
        <v>3.6831557528023101E-3</v>
      </c>
      <c r="O53" s="150">
        <v>5.8593535098932701E-4</v>
      </c>
      <c r="P53" s="144"/>
      <c r="Q53" s="146" t="s">
        <v>113</v>
      </c>
      <c r="R53" s="147">
        <f>'6th Order (Y_Factor)'!D23</f>
        <v>5.5506252014311031E-2</v>
      </c>
      <c r="S53" s="135"/>
      <c r="T53" s="135"/>
      <c r="U53" s="135"/>
      <c r="V53" s="135"/>
      <c r="W53" s="135"/>
      <c r="X53" s="135"/>
      <c r="Y53" s="181">
        <v>0.38</v>
      </c>
      <c r="Z53" s="230">
        <v>0.52393398895752596</v>
      </c>
      <c r="AA53" s="230">
        <f t="shared" si="3"/>
        <v>8.3386684196444766E-2</v>
      </c>
      <c r="AB53" s="135"/>
      <c r="AC53" s="181">
        <v>0.88</v>
      </c>
      <c r="AD53" s="230">
        <v>0.93521739451879204</v>
      </c>
      <c r="AE53" s="230">
        <f t="shared" si="4"/>
        <v>0.14884447120318897</v>
      </c>
      <c r="AF53" s="2"/>
      <c r="AG53" s="2"/>
      <c r="AH53" s="162">
        <v>0.7</v>
      </c>
      <c r="AI53" s="159">
        <f t="shared" si="20"/>
        <v>0.23499999999999988</v>
      </c>
      <c r="AJ53" s="159">
        <f t="shared" si="21"/>
        <v>-0.1925</v>
      </c>
      <c r="AK53" s="159">
        <f t="shared" si="22"/>
        <v>-0.4120625</v>
      </c>
      <c r="AL53" s="159">
        <f t="shared" si="23"/>
        <v>-0.36519874999999979</v>
      </c>
      <c r="AM53" s="159">
        <f t="shared" si="24"/>
        <v>-0.12528631249999966</v>
      </c>
      <c r="AN53" s="159">
        <f t="shared" si="25"/>
        <v>0.15015529374999925</v>
      </c>
      <c r="AO53" s="159">
        <f t="shared" si="26"/>
        <v>0.30670434648437528</v>
      </c>
      <c r="AP53" s="159">
        <f t="shared" si="27"/>
        <v>0.27205993035156517</v>
      </c>
      <c r="AQ53" s="159">
        <f t="shared" si="28"/>
        <v>8.5805795531638474E-2</v>
      </c>
      <c r="AR53" s="153"/>
      <c r="AS53" s="160">
        <f t="shared" si="9"/>
        <v>0.13005431361223305</v>
      </c>
      <c r="AT53" s="154"/>
      <c r="AU53" s="163">
        <v>0.7</v>
      </c>
      <c r="AV53" s="159">
        <f t="shared" si="10"/>
        <v>0.23499999999999988</v>
      </c>
      <c r="AW53" s="159">
        <f t="shared" si="11"/>
        <v>-0.1925</v>
      </c>
      <c r="AX53" s="159">
        <f t="shared" si="12"/>
        <v>-0.4120625</v>
      </c>
      <c r="AY53" s="159">
        <f t="shared" si="13"/>
        <v>-0.36519874999999979</v>
      </c>
      <c r="AZ53" s="159">
        <f t="shared" si="14"/>
        <v>-0.12528631249999966</v>
      </c>
      <c r="BA53" s="159">
        <f t="shared" si="15"/>
        <v>0.15015529374999925</v>
      </c>
      <c r="BB53" s="159">
        <f t="shared" si="16"/>
        <v>0.30670434648437528</v>
      </c>
      <c r="BC53" s="159">
        <f t="shared" si="17"/>
        <v>0.27205993035156517</v>
      </c>
      <c r="BD53" s="159">
        <f t="shared" si="18"/>
        <v>8.5805795531638474E-2</v>
      </c>
      <c r="BE53" s="157"/>
      <c r="BF53" s="161">
        <f t="shared" si="19"/>
        <v>0.81715535190858923</v>
      </c>
      <c r="BG53" s="135"/>
      <c r="BH53" s="135"/>
      <c r="BI53" s="135"/>
      <c r="BJ53" s="135"/>
      <c r="BK53" s="135"/>
      <c r="BL53" s="135"/>
    </row>
    <row r="54" spans="1:64" ht="15" thickBot="1">
      <c r="A54" s="135"/>
      <c r="B54" s="218" t="s">
        <v>87</v>
      </c>
      <c r="C54" s="228">
        <f>PI()*($C$13+$C$18)*H27</f>
        <v>48.442241102738379</v>
      </c>
      <c r="D54" s="135" t="s">
        <v>1</v>
      </c>
      <c r="E54" s="135"/>
      <c r="F54" s="135"/>
      <c r="G54" s="135"/>
      <c r="H54" s="135"/>
      <c r="I54" s="135"/>
      <c r="J54" s="135"/>
      <c r="K54" s="135"/>
      <c r="L54" s="135"/>
      <c r="M54" s="148" t="s">
        <v>96</v>
      </c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81">
        <v>0.39</v>
      </c>
      <c r="Z54" s="230">
        <v>0.53506308632024302</v>
      </c>
      <c r="AA54" s="230">
        <f t="shared" si="3"/>
        <v>8.5157935053872161E-2</v>
      </c>
      <c r="AB54" s="135"/>
      <c r="AC54" s="181">
        <v>0.89</v>
      </c>
      <c r="AD54" s="230">
        <v>0.941001894157379</v>
      </c>
      <c r="AE54" s="230">
        <f t="shared" si="4"/>
        <v>0.14976510291398337</v>
      </c>
      <c r="AF54" s="2"/>
      <c r="AG54" s="2"/>
      <c r="AH54" s="162">
        <v>0.72</v>
      </c>
      <c r="AI54" s="159">
        <f t="shared" si="20"/>
        <v>0.27759999999999996</v>
      </c>
      <c r="AJ54" s="159">
        <f t="shared" si="21"/>
        <v>-0.14688000000000012</v>
      </c>
      <c r="AK54" s="159">
        <f t="shared" si="22"/>
        <v>-0.3932688000000002</v>
      </c>
      <c r="AL54" s="159">
        <f t="shared" si="23"/>
        <v>-0.39217236480000039</v>
      </c>
      <c r="AM54" s="159">
        <f t="shared" si="24"/>
        <v>-0.18994352153599969</v>
      </c>
      <c r="AN54" s="159">
        <f t="shared" si="25"/>
        <v>8.2166118174719971E-2</v>
      </c>
      <c r="AO54" s="159">
        <f t="shared" si="26"/>
        <v>0.27712484087987299</v>
      </c>
      <c r="AP54" s="159">
        <f t="shared" si="27"/>
        <v>0.3038532341079867</v>
      </c>
      <c r="AQ54" s="159">
        <f t="shared" si="28"/>
        <v>0.16625886746784069</v>
      </c>
      <c r="AR54" s="153"/>
      <c r="AS54" s="160">
        <f t="shared" si="9"/>
        <v>0.13236761651379442</v>
      </c>
      <c r="AT54" s="154"/>
      <c r="AU54" s="163">
        <v>0.72</v>
      </c>
      <c r="AV54" s="159">
        <f t="shared" si="10"/>
        <v>0.27759999999999996</v>
      </c>
      <c r="AW54" s="159">
        <f t="shared" si="11"/>
        <v>-0.14688000000000012</v>
      </c>
      <c r="AX54" s="159">
        <f t="shared" si="12"/>
        <v>-0.3932688000000002</v>
      </c>
      <c r="AY54" s="159">
        <f t="shared" si="13"/>
        <v>-0.39217236480000039</v>
      </c>
      <c r="AZ54" s="159">
        <f t="shared" si="14"/>
        <v>-0.18994352153599969</v>
      </c>
      <c r="BA54" s="159">
        <f t="shared" si="15"/>
        <v>8.2166118174719971E-2</v>
      </c>
      <c r="BB54" s="159">
        <f t="shared" si="16"/>
        <v>0.27712484087987299</v>
      </c>
      <c r="BC54" s="159">
        <f t="shared" si="17"/>
        <v>0.3038532341079867</v>
      </c>
      <c r="BD54" s="159">
        <f t="shared" si="18"/>
        <v>0.16625886746784069</v>
      </c>
      <c r="BE54" s="157"/>
      <c r="BF54" s="161">
        <f t="shared" si="19"/>
        <v>0.83169026251695144</v>
      </c>
      <c r="BG54" s="135"/>
      <c r="BH54" s="135"/>
      <c r="BI54" s="135"/>
      <c r="BJ54" s="135"/>
      <c r="BK54" s="135"/>
      <c r="BL54" s="135"/>
    </row>
    <row r="55" spans="1:64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48" t="s">
        <v>97</v>
      </c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81">
        <v>0.4</v>
      </c>
      <c r="Z55" s="230">
        <v>0.54605262813194599</v>
      </c>
      <c r="AA55" s="230">
        <f t="shared" si="3"/>
        <v>8.6906974955519758E-2</v>
      </c>
      <c r="AB55" s="135"/>
      <c r="AC55" s="181">
        <v>0.9</v>
      </c>
      <c r="AD55" s="230">
        <v>0.94671268926077401</v>
      </c>
      <c r="AE55" s="230">
        <f t="shared" si="4"/>
        <v>0.15067400418367369</v>
      </c>
      <c r="AF55" s="2"/>
      <c r="AG55" s="2"/>
      <c r="AH55" s="162">
        <v>0.74</v>
      </c>
      <c r="AI55" s="159">
        <f t="shared" si="20"/>
        <v>0.32139999999999991</v>
      </c>
      <c r="AJ55" s="159">
        <f t="shared" si="21"/>
        <v>-9.6940000000000026E-2</v>
      </c>
      <c r="AK55" s="159">
        <f t="shared" si="22"/>
        <v>-0.36658730000000017</v>
      </c>
      <c r="AL55" s="159">
        <f t="shared" si="23"/>
        <v>-0.41074228359999987</v>
      </c>
      <c r="AM55" s="159">
        <f t="shared" si="24"/>
        <v>-0.25175094808400056</v>
      </c>
      <c r="AN55" s="159">
        <f t="shared" si="25"/>
        <v>6.0870830045591795E-3</v>
      </c>
      <c r="AO55" s="159">
        <f t="shared" si="26"/>
        <v>0.22872790724232583</v>
      </c>
      <c r="AP55" s="159">
        <f t="shared" si="27"/>
        <v>0.31430004545244361</v>
      </c>
      <c r="AQ55" s="159">
        <f t="shared" si="28"/>
        <v>0.23605074738804444</v>
      </c>
      <c r="AR55" s="153"/>
      <c r="AS55" s="160">
        <f t="shared" si="9"/>
        <v>0.13462068276336264</v>
      </c>
      <c r="AT55" s="154"/>
      <c r="AU55" s="163">
        <v>0.74</v>
      </c>
      <c r="AV55" s="159">
        <f t="shared" si="10"/>
        <v>0.32139999999999991</v>
      </c>
      <c r="AW55" s="159">
        <f t="shared" si="11"/>
        <v>-9.6940000000000026E-2</v>
      </c>
      <c r="AX55" s="159">
        <f t="shared" si="12"/>
        <v>-0.36658730000000017</v>
      </c>
      <c r="AY55" s="159">
        <f t="shared" si="13"/>
        <v>-0.41074228359999987</v>
      </c>
      <c r="AZ55" s="159">
        <f t="shared" si="14"/>
        <v>-0.25175094808400056</v>
      </c>
      <c r="BA55" s="159">
        <f t="shared" si="15"/>
        <v>6.0870830045591795E-3</v>
      </c>
      <c r="BB55" s="159">
        <f t="shared" si="16"/>
        <v>0.22872790724232583</v>
      </c>
      <c r="BC55" s="159">
        <f t="shared" si="17"/>
        <v>0.31430004545244361</v>
      </c>
      <c r="BD55" s="159">
        <f t="shared" si="18"/>
        <v>0.23605074738804444</v>
      </c>
      <c r="BE55" s="157"/>
      <c r="BF55" s="161">
        <f t="shared" si="19"/>
        <v>0.84584669517115085</v>
      </c>
      <c r="BG55" s="135"/>
      <c r="BH55" s="135"/>
      <c r="BI55" s="135"/>
      <c r="BJ55" s="135"/>
      <c r="BK55" s="135"/>
      <c r="BL55" s="135"/>
    </row>
    <row r="56" spans="1:64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81">
        <v>0.41</v>
      </c>
      <c r="Z56" s="230">
        <v>0.55690364992782804</v>
      </c>
      <c r="AA56" s="230">
        <f t="shared" si="3"/>
        <v>8.8633968711932271E-2</v>
      </c>
      <c r="AB56" s="135"/>
      <c r="AC56" s="181">
        <v>0.91</v>
      </c>
      <c r="AD56" s="230">
        <v>0.95235087352631498</v>
      </c>
      <c r="AE56" s="230">
        <f t="shared" si="4"/>
        <v>0.15157134907959749</v>
      </c>
      <c r="AF56" s="2"/>
      <c r="AG56" s="2"/>
      <c r="AH56" s="162">
        <v>0.76</v>
      </c>
      <c r="AI56" s="159">
        <f t="shared" si="20"/>
        <v>0.36640000000000006</v>
      </c>
      <c r="AJ56" s="159">
        <f t="shared" si="21"/>
        <v>-4.2559999999999931E-2</v>
      </c>
      <c r="AK56" s="159">
        <f t="shared" si="22"/>
        <v>-0.33140480000000005</v>
      </c>
      <c r="AL56" s="159">
        <f t="shared" si="23"/>
        <v>-0.41931376640000018</v>
      </c>
      <c r="AM56" s="159">
        <f t="shared" si="24"/>
        <v>-0.30807318118399962</v>
      </c>
      <c r="AN56" s="159">
        <f t="shared" si="25"/>
        <v>-7.5411490242558887E-2</v>
      </c>
      <c r="AO56" s="159">
        <f t="shared" si="26"/>
        <v>0.16210265994035478</v>
      </c>
      <c r="AP56" s="159">
        <f t="shared" si="27"/>
        <v>0.29973980981886617</v>
      </c>
      <c r="AQ56" s="159">
        <f t="shared" si="28"/>
        <v>0.2869318914321255</v>
      </c>
      <c r="AR56" s="153"/>
      <c r="AS56" s="160">
        <f t="shared" si="9"/>
        <v>0.1368152197561</v>
      </c>
      <c r="AT56" s="154"/>
      <c r="AU56" s="163">
        <v>0.76</v>
      </c>
      <c r="AV56" s="159">
        <f t="shared" si="10"/>
        <v>0.36640000000000006</v>
      </c>
      <c r="AW56" s="159">
        <f t="shared" si="11"/>
        <v>-4.2559999999999931E-2</v>
      </c>
      <c r="AX56" s="159">
        <f t="shared" si="12"/>
        <v>-0.33140480000000005</v>
      </c>
      <c r="AY56" s="159">
        <f t="shared" si="13"/>
        <v>-0.41931376640000018</v>
      </c>
      <c r="AZ56" s="159">
        <f t="shared" si="14"/>
        <v>-0.30807318118399962</v>
      </c>
      <c r="BA56" s="159">
        <f t="shared" si="15"/>
        <v>-7.5411490242558887E-2</v>
      </c>
      <c r="BB56" s="159">
        <f t="shared" si="16"/>
        <v>0.16210265994035478</v>
      </c>
      <c r="BC56" s="159">
        <f t="shared" si="17"/>
        <v>0.29973980981886617</v>
      </c>
      <c r="BD56" s="159">
        <f t="shared" si="18"/>
        <v>0.2869318914321255</v>
      </c>
      <c r="BE56" s="157"/>
      <c r="BF56" s="161">
        <f t="shared" si="19"/>
        <v>0.85963537779191501</v>
      </c>
      <c r="BG56" s="135"/>
      <c r="BH56" s="135"/>
      <c r="BI56" s="135"/>
      <c r="BJ56" s="135"/>
      <c r="BK56" s="135"/>
      <c r="BL56" s="135"/>
    </row>
    <row r="57" spans="1:64" ht="15">
      <c r="A57" s="135"/>
      <c r="B57" s="171" t="s">
        <v>106</v>
      </c>
      <c r="C57" s="133"/>
      <c r="D57" s="133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81">
        <v>0.42</v>
      </c>
      <c r="Z57" s="230">
        <v>0.56761724123184498</v>
      </c>
      <c r="AA57" s="230">
        <f t="shared" si="3"/>
        <v>9.0339089726232918E-2</v>
      </c>
      <c r="AB57" s="135"/>
      <c r="AC57" s="181">
        <v>0.92</v>
      </c>
      <c r="AD57" s="230">
        <v>0.95791752538575003</v>
      </c>
      <c r="AE57" s="230">
        <f t="shared" si="4"/>
        <v>0.15245730923949827</v>
      </c>
      <c r="AF57" s="2"/>
      <c r="AG57" s="2"/>
      <c r="AH57" s="162">
        <v>0.78</v>
      </c>
      <c r="AI57" s="159">
        <f t="shared" si="20"/>
        <v>0.41260000000000008</v>
      </c>
      <c r="AJ57" s="159">
        <f t="shared" si="21"/>
        <v>1.6380000000000061E-2</v>
      </c>
      <c r="AK57" s="159">
        <f t="shared" si="22"/>
        <v>-0.28709129999999994</v>
      </c>
      <c r="AL57" s="159">
        <f t="shared" si="23"/>
        <v>-0.41618018519999933</v>
      </c>
      <c r="AM57" s="159">
        <f t="shared" si="24"/>
        <v>-0.355894914836</v>
      </c>
      <c r="AN57" s="159">
        <f t="shared" si="25"/>
        <v>-0.15881333217672133</v>
      </c>
      <c r="AO57" s="159">
        <f t="shared" si="26"/>
        <v>7.914355217305058E-2</v>
      </c>
      <c r="AP57" s="159">
        <f t="shared" si="27"/>
        <v>0.25777223991426523</v>
      </c>
      <c r="AQ57" s="159">
        <f t="shared" si="28"/>
        <v>0.31078926259719886</v>
      </c>
      <c r="AR57" s="153"/>
      <c r="AS57" s="160">
        <f t="shared" si="9"/>
        <v>0.13895290278719014</v>
      </c>
      <c r="AT57" s="154"/>
      <c r="AU57" s="163">
        <v>0.78</v>
      </c>
      <c r="AV57" s="159">
        <f t="shared" si="10"/>
        <v>0.41260000000000008</v>
      </c>
      <c r="AW57" s="159">
        <f t="shared" si="11"/>
        <v>1.6380000000000061E-2</v>
      </c>
      <c r="AX57" s="159">
        <f t="shared" si="12"/>
        <v>-0.28709129999999994</v>
      </c>
      <c r="AY57" s="159">
        <f t="shared" si="13"/>
        <v>-0.41618018519999933</v>
      </c>
      <c r="AZ57" s="159">
        <f t="shared" si="14"/>
        <v>-0.355894914836</v>
      </c>
      <c r="BA57" s="159">
        <f t="shared" si="15"/>
        <v>-0.15881333217672133</v>
      </c>
      <c r="BB57" s="159">
        <f t="shared" si="16"/>
        <v>7.914355217305058E-2</v>
      </c>
      <c r="BC57" s="159">
        <f t="shared" si="17"/>
        <v>0.25777223991426523</v>
      </c>
      <c r="BD57" s="159">
        <f t="shared" si="18"/>
        <v>0.31078926259719886</v>
      </c>
      <c r="BE57" s="157"/>
      <c r="BF57" s="161">
        <f t="shared" si="19"/>
        <v>0.87306683659393547</v>
      </c>
      <c r="BG57" s="135"/>
      <c r="BH57" s="135"/>
      <c r="BI57" s="135"/>
      <c r="BJ57" s="135"/>
      <c r="BK57" s="135"/>
      <c r="BL57" s="135"/>
    </row>
    <row r="58" spans="1:64" ht="15" thickBot="1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81">
        <v>0.43</v>
      </c>
      <c r="Z58" s="230">
        <v>0.57819454062501596</v>
      </c>
      <c r="AA58" s="230">
        <f t="shared" si="3"/>
        <v>9.2022519209218986E-2</v>
      </c>
      <c r="AB58" s="135"/>
      <c r="AC58" s="181">
        <v>0.93</v>
      </c>
      <c r="AD58" s="230">
        <v>0.96341370805786197</v>
      </c>
      <c r="AE58" s="230">
        <f t="shared" si="4"/>
        <v>0.1533320538799009</v>
      </c>
      <c r="AF58" s="2"/>
      <c r="AG58" s="2"/>
      <c r="AH58" s="162">
        <v>0.8</v>
      </c>
      <c r="AI58" s="159">
        <f t="shared" si="20"/>
        <v>0.46000000000000019</v>
      </c>
      <c r="AJ58" s="159">
        <f t="shared" si="21"/>
        <v>8.0000000000000071E-2</v>
      </c>
      <c r="AK58" s="159">
        <f t="shared" si="22"/>
        <v>-0.23299999999999965</v>
      </c>
      <c r="AL58" s="159">
        <f t="shared" si="23"/>
        <v>-0.39951999999999988</v>
      </c>
      <c r="AM58" s="159">
        <f t="shared" si="24"/>
        <v>-0.39179600000000026</v>
      </c>
      <c r="AN58" s="159">
        <f t="shared" si="25"/>
        <v>-0.23965120000000084</v>
      </c>
      <c r="AO58" s="159">
        <f t="shared" si="26"/>
        <v>-1.6655300000000928E-2</v>
      </c>
      <c r="AP58" s="159">
        <f t="shared" si="27"/>
        <v>0.1878552800000044</v>
      </c>
      <c r="AQ58" s="159">
        <f t="shared" si="28"/>
        <v>0.30052979559999926</v>
      </c>
      <c r="AR58" s="153"/>
      <c r="AS58" s="160">
        <f t="shared" si="9"/>
        <v>0.14103537196361488</v>
      </c>
      <c r="AT58" s="154"/>
      <c r="AU58" s="163">
        <v>0.8</v>
      </c>
      <c r="AV58" s="159">
        <f t="shared" si="10"/>
        <v>0.46000000000000019</v>
      </c>
      <c r="AW58" s="159">
        <f t="shared" si="11"/>
        <v>8.0000000000000071E-2</v>
      </c>
      <c r="AX58" s="159">
        <f t="shared" si="12"/>
        <v>-0.23299999999999965</v>
      </c>
      <c r="AY58" s="159">
        <f t="shared" si="13"/>
        <v>-0.39951999999999988</v>
      </c>
      <c r="AZ58" s="159">
        <f t="shared" si="14"/>
        <v>-0.39179600000000026</v>
      </c>
      <c r="BA58" s="159">
        <f t="shared" si="15"/>
        <v>-0.23965120000000084</v>
      </c>
      <c r="BB58" s="159">
        <f t="shared" si="16"/>
        <v>-1.6655300000000928E-2</v>
      </c>
      <c r="BC58" s="159">
        <f t="shared" si="17"/>
        <v>0.1878552800000044</v>
      </c>
      <c r="BD58" s="159">
        <f t="shared" si="18"/>
        <v>0.30052979559999926</v>
      </c>
      <c r="BE58" s="157"/>
      <c r="BF58" s="161">
        <f t="shared" si="19"/>
        <v>0.88615137667105703</v>
      </c>
      <c r="BG58" s="135"/>
      <c r="BH58" s="135"/>
      <c r="BI58" s="135"/>
      <c r="BJ58" s="135"/>
      <c r="BK58" s="135"/>
      <c r="BL58" s="135"/>
    </row>
    <row r="59" spans="1:64" ht="15" thickBot="1">
      <c r="A59" s="135"/>
      <c r="B59" s="218" t="s">
        <v>87</v>
      </c>
      <c r="C59" s="228">
        <f>C18/(O43+(O44*$C$29)+O45*(1/2*(3*$C$29^2-1))+O46*(1/2*(5*$C$29^3-3*$C$29))+O47*(1/8*(35*$C$29^4-30*$C$29^2+3))+O48*(1/8*(63*$C$29^5-70*$C$29^3+15*$C$29))+O49*(1/16*(231*$C$29^6-315*$C$29^4+105*$C$29^2-5))+O50*(1/16*(429*$C$29^7-693*$C$29^5+315*$C$29^3-35*$C$29))+O51*(1/128*(6435*$C$29^8-12012*$C$29^6+6930*$C$29^4-1260*$C$29^2+35))+O52*(1/128*(12155*$C$29^9-25740*$C$29^7+18018*$C$29^5-4620*$C$29^3+315*$C$29))+O53*(1/256*(46189*$C$29^10-109395*$C$29^8+90090*$C$29^6-30030*$C$29^4+3465*$C$29^2-63)))</f>
        <v>48.44225272391111</v>
      </c>
      <c r="D59" s="135" t="s">
        <v>1</v>
      </c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81">
        <v>0.44</v>
      </c>
      <c r="Z59" s="230">
        <v>0.58863673111456205</v>
      </c>
      <c r="AA59" s="230">
        <f t="shared" si="3"/>
        <v>9.3684445442337422E-2</v>
      </c>
      <c r="AB59" s="135"/>
      <c r="AC59" s="181">
        <v>0.94</v>
      </c>
      <c r="AD59" s="230">
        <v>0.96884046961328096</v>
      </c>
      <c r="AE59" s="230">
        <f t="shared" si="4"/>
        <v>0.15419574980642689</v>
      </c>
      <c r="AF59" s="2"/>
      <c r="AG59" s="2"/>
      <c r="AH59" s="162">
        <v>0.82</v>
      </c>
      <c r="AI59" s="159">
        <f t="shared" si="20"/>
        <v>0.50859999999999994</v>
      </c>
      <c r="AJ59" s="159">
        <f t="shared" si="21"/>
        <v>0.14841999999999977</v>
      </c>
      <c r="AK59" s="159">
        <f t="shared" si="22"/>
        <v>-0.1684673000000001</v>
      </c>
      <c r="AL59" s="159">
        <f t="shared" si="23"/>
        <v>-0.36739373480000004</v>
      </c>
      <c r="AM59" s="159">
        <f t="shared" si="24"/>
        <v>-0.41192583131600102</v>
      </c>
      <c r="AN59" s="159">
        <f t="shared" si="25"/>
        <v>-0.3123952790040796</v>
      </c>
      <c r="AO59" s="159">
        <f t="shared" si="26"/>
        <v>-0.11987263906727197</v>
      </c>
      <c r="AP59" s="159">
        <f t="shared" si="27"/>
        <v>9.201529371498518E-2</v>
      </c>
      <c r="AQ59" s="159">
        <f t="shared" si="28"/>
        <v>0.2512452027684926</v>
      </c>
      <c r="AR59" s="153"/>
      <c r="AS59" s="160">
        <f t="shared" si="9"/>
        <v>0.14306422896771012</v>
      </c>
      <c r="AT59" s="154"/>
      <c r="AU59" s="163">
        <v>0.82</v>
      </c>
      <c r="AV59" s="159">
        <f t="shared" si="10"/>
        <v>0.50859999999999994</v>
      </c>
      <c r="AW59" s="159">
        <f t="shared" si="11"/>
        <v>0.14841999999999977</v>
      </c>
      <c r="AX59" s="159">
        <f t="shared" si="12"/>
        <v>-0.1684673000000001</v>
      </c>
      <c r="AY59" s="159">
        <f t="shared" si="13"/>
        <v>-0.36739373480000004</v>
      </c>
      <c r="AZ59" s="159">
        <f t="shared" si="14"/>
        <v>-0.41192583131600102</v>
      </c>
      <c r="BA59" s="159">
        <f t="shared" si="15"/>
        <v>-0.3123952790040796</v>
      </c>
      <c r="BB59" s="159">
        <f t="shared" si="16"/>
        <v>-0.11987263906727197</v>
      </c>
      <c r="BC59" s="159">
        <f t="shared" si="17"/>
        <v>9.201529371498518E-2</v>
      </c>
      <c r="BD59" s="159">
        <f t="shared" si="18"/>
        <v>0.2512452027684926</v>
      </c>
      <c r="BE59" s="157"/>
      <c r="BF59" s="161">
        <f t="shared" si="19"/>
        <v>0.89889906165135947</v>
      </c>
      <c r="BG59" s="135"/>
      <c r="BH59" s="135"/>
      <c r="BI59" s="135"/>
      <c r="BJ59" s="135"/>
      <c r="BK59" s="135"/>
      <c r="BL59" s="135"/>
    </row>
    <row r="60" spans="1:64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81">
        <v>0.45</v>
      </c>
      <c r="Z60" s="230">
        <v>0.59894503578714797</v>
      </c>
      <c r="AA60" s="230">
        <f t="shared" si="3"/>
        <v>9.5325063085876752E-2</v>
      </c>
      <c r="AB60" s="135"/>
      <c r="AC60" s="181">
        <v>0.95</v>
      </c>
      <c r="AD60" s="230">
        <v>0.97419884305049098</v>
      </c>
      <c r="AE60" s="230">
        <f t="shared" si="4"/>
        <v>0.15504856142589118</v>
      </c>
      <c r="AF60" s="2"/>
      <c r="AG60" s="2"/>
      <c r="AH60" s="162">
        <v>0.84</v>
      </c>
      <c r="AI60" s="159">
        <f t="shared" si="20"/>
        <v>0.55839999999999979</v>
      </c>
      <c r="AJ60" s="159">
        <f t="shared" si="21"/>
        <v>0.22175999999999974</v>
      </c>
      <c r="AK60" s="159">
        <f t="shared" si="22"/>
        <v>-9.2812799999999918E-2</v>
      </c>
      <c r="AL60" s="159">
        <f t="shared" si="23"/>
        <v>-0.31774095360000021</v>
      </c>
      <c r="AM60" s="159">
        <f t="shared" si="24"/>
        <v>-0.41197706854400007</v>
      </c>
      <c r="AN60" s="159">
        <f t="shared" si="25"/>
        <v>-0.37033483812863777</v>
      </c>
      <c r="AO60" s="159">
        <f t="shared" si="26"/>
        <v>-0.22279743507660577</v>
      </c>
      <c r="AP60" s="159">
        <f t="shared" si="27"/>
        <v>-2.4318740873865874E-2</v>
      </c>
      <c r="AQ60" s="159">
        <f t="shared" si="28"/>
        <v>0.16170498113424614</v>
      </c>
      <c r="AR60" s="153"/>
      <c r="AS60" s="160">
        <f t="shared" si="9"/>
        <v>0.14504103389426859</v>
      </c>
      <c r="AT60" s="154"/>
      <c r="AU60" s="163">
        <v>0.84</v>
      </c>
      <c r="AV60" s="159">
        <f t="shared" si="10"/>
        <v>0.55839999999999979</v>
      </c>
      <c r="AW60" s="159">
        <f t="shared" si="11"/>
        <v>0.22175999999999974</v>
      </c>
      <c r="AX60" s="159">
        <f t="shared" si="12"/>
        <v>-9.2812799999999918E-2</v>
      </c>
      <c r="AY60" s="159">
        <f t="shared" si="13"/>
        <v>-0.31774095360000021</v>
      </c>
      <c r="AZ60" s="159">
        <f t="shared" si="14"/>
        <v>-0.41197706854400007</v>
      </c>
      <c r="BA60" s="159">
        <f t="shared" si="15"/>
        <v>-0.37033483812863777</v>
      </c>
      <c r="BB60" s="159">
        <f t="shared" si="16"/>
        <v>-0.22279743507660577</v>
      </c>
      <c r="BC60" s="159">
        <f t="shared" si="17"/>
        <v>-2.4318740873865874E-2</v>
      </c>
      <c r="BD60" s="159">
        <f t="shared" si="18"/>
        <v>0.16170498113424614</v>
      </c>
      <c r="BE60" s="157"/>
      <c r="BF60" s="161">
        <f t="shared" si="19"/>
        <v>0.91131969381823363</v>
      </c>
      <c r="BG60" s="135"/>
      <c r="BH60" s="135"/>
      <c r="BI60" s="135"/>
      <c r="BJ60" s="135"/>
      <c r="BK60" s="135"/>
      <c r="BL60" s="135"/>
    </row>
    <row r="61" spans="1:64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81">
        <v>0.46</v>
      </c>
      <c r="Z61" s="230">
        <v>0.60912071373050303</v>
      </c>
      <c r="AA61" s="230">
        <f t="shared" si="3"/>
        <v>9.6944572529872888E-2</v>
      </c>
      <c r="AB61" s="135"/>
      <c r="AC61" s="181">
        <v>0.96</v>
      </c>
      <c r="AD61" s="230">
        <v>0.97948984638213599</v>
      </c>
      <c r="AE61" s="230">
        <f t="shared" si="4"/>
        <v>0.15589065076003816</v>
      </c>
      <c r="AF61" s="2"/>
      <c r="AG61" s="2"/>
      <c r="AH61" s="162">
        <v>0.86</v>
      </c>
      <c r="AI61" s="159">
        <f t="shared" si="20"/>
        <v>0.60939999999999994</v>
      </c>
      <c r="AJ61" s="159">
        <f t="shared" si="21"/>
        <v>0.30013999999999985</v>
      </c>
      <c r="AK61" s="159">
        <f t="shared" si="22"/>
        <v>-5.3393000000006019E-3</v>
      </c>
      <c r="AL61" s="159">
        <f t="shared" si="23"/>
        <v>-0.24837723640000031</v>
      </c>
      <c r="AM61" s="159">
        <f t="shared" si="24"/>
        <v>-0.38715869272399939</v>
      </c>
      <c r="AN61" s="159">
        <f t="shared" si="25"/>
        <v>-0.40545296660775976</v>
      </c>
      <c r="AO61" s="159">
        <f t="shared" si="26"/>
        <v>-0.31502905252151514</v>
      </c>
      <c r="AP61" s="159">
        <f t="shared" si="27"/>
        <v>-0.15134455722248763</v>
      </c>
      <c r="AQ61" s="159">
        <f t="shared" si="28"/>
        <v>3.6229140767815693E-2</v>
      </c>
      <c r="AR61" s="153"/>
      <c r="AS61" s="160">
        <f t="shared" si="9"/>
        <v>0.14696730258443177</v>
      </c>
      <c r="AT61" s="154"/>
      <c r="AU61" s="163">
        <v>0.86</v>
      </c>
      <c r="AV61" s="159">
        <f t="shared" si="10"/>
        <v>0.60939999999999994</v>
      </c>
      <c r="AW61" s="159">
        <f t="shared" si="11"/>
        <v>0.30013999999999985</v>
      </c>
      <c r="AX61" s="159">
        <f t="shared" si="12"/>
        <v>-5.3393000000006019E-3</v>
      </c>
      <c r="AY61" s="159">
        <f t="shared" si="13"/>
        <v>-0.24837723640000031</v>
      </c>
      <c r="AZ61" s="159">
        <f t="shared" si="14"/>
        <v>-0.38715869272399939</v>
      </c>
      <c r="BA61" s="159">
        <f t="shared" si="15"/>
        <v>-0.40545296660775976</v>
      </c>
      <c r="BB61" s="159">
        <f t="shared" si="16"/>
        <v>-0.31502905252151514</v>
      </c>
      <c r="BC61" s="159">
        <f t="shared" si="17"/>
        <v>-0.15134455722248763</v>
      </c>
      <c r="BD61" s="159">
        <f t="shared" si="18"/>
        <v>3.6229140767815693E-2</v>
      </c>
      <c r="BE61" s="157"/>
      <c r="BF61" s="161">
        <f t="shared" si="19"/>
        <v>0.92342279736043442</v>
      </c>
      <c r="BG61" s="135"/>
      <c r="BH61" s="135"/>
      <c r="BI61" s="135"/>
      <c r="BJ61" s="135"/>
      <c r="BK61" s="135"/>
      <c r="BL61" s="135"/>
    </row>
    <row r="62" spans="1:64" ht="15">
      <c r="A62" s="135"/>
      <c r="B62" s="171" t="s">
        <v>90</v>
      </c>
      <c r="C62" s="133"/>
      <c r="D62" s="133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81">
        <v>0.47</v>
      </c>
      <c r="Z62" s="230">
        <v>0.61916505620853801</v>
      </c>
      <c r="AA62" s="230">
        <f t="shared" si="3"/>
        <v>9.854317928536005E-2</v>
      </c>
      <c r="AB62" s="135"/>
      <c r="AC62" s="181">
        <v>0.97</v>
      </c>
      <c r="AD62" s="230">
        <v>0.98471448273077999</v>
      </c>
      <c r="AE62" s="230">
        <f t="shared" si="4"/>
        <v>0.15672217746078246</v>
      </c>
      <c r="AF62" s="2"/>
      <c r="AG62" s="2"/>
      <c r="AH62" s="162">
        <v>0.88</v>
      </c>
      <c r="AI62" s="159">
        <f t="shared" si="20"/>
        <v>0.66159999999999997</v>
      </c>
      <c r="AJ62" s="159">
        <f t="shared" si="21"/>
        <v>0.3836799999999998</v>
      </c>
      <c r="AK62" s="159">
        <f t="shared" si="22"/>
        <v>9.4667199999999951E-2</v>
      </c>
      <c r="AL62" s="159">
        <f t="shared" si="23"/>
        <v>-0.15699115519999962</v>
      </c>
      <c r="AM62" s="159">
        <f t="shared" si="24"/>
        <v>-0.33216839705599988</v>
      </c>
      <c r="AN62" s="159">
        <f t="shared" si="25"/>
        <v>-0.40829421873152083</v>
      </c>
      <c r="AO62" s="159">
        <f t="shared" si="26"/>
        <v>-0.3830381134830052</v>
      </c>
      <c r="AP62" s="159">
        <f t="shared" si="27"/>
        <v>-0.27376626976152929</v>
      </c>
      <c r="AQ62" s="159">
        <f t="shared" si="28"/>
        <v>-0.11300290090657406</v>
      </c>
      <c r="AR62" s="153"/>
      <c r="AS62" s="160">
        <f t="shared" si="9"/>
        <v>0.14884450512602937</v>
      </c>
      <c r="AT62" s="154"/>
      <c r="AU62" s="163">
        <v>0.88</v>
      </c>
      <c r="AV62" s="159">
        <f t="shared" si="10"/>
        <v>0.66159999999999997</v>
      </c>
      <c r="AW62" s="159">
        <f t="shared" si="11"/>
        <v>0.3836799999999998</v>
      </c>
      <c r="AX62" s="159">
        <f t="shared" si="12"/>
        <v>9.4667199999999951E-2</v>
      </c>
      <c r="AY62" s="159">
        <f t="shared" si="13"/>
        <v>-0.15699115519999962</v>
      </c>
      <c r="AZ62" s="159">
        <f t="shared" si="14"/>
        <v>-0.33216839705599988</v>
      </c>
      <c r="BA62" s="159">
        <f t="shared" si="15"/>
        <v>-0.40829421873152083</v>
      </c>
      <c r="BB62" s="159">
        <f t="shared" si="16"/>
        <v>-0.3830381134830052</v>
      </c>
      <c r="BC62" s="159">
        <f t="shared" si="17"/>
        <v>-0.27376626976152929</v>
      </c>
      <c r="BD62" s="159">
        <f t="shared" si="18"/>
        <v>-0.11300290090657406</v>
      </c>
      <c r="BE62" s="157"/>
      <c r="BF62" s="161">
        <f t="shared" si="19"/>
        <v>0.9352176089635108</v>
      </c>
      <c r="BG62" s="135"/>
      <c r="BH62" s="135"/>
      <c r="BI62" s="135"/>
      <c r="BJ62" s="135"/>
      <c r="BK62" s="135"/>
      <c r="BL62" s="135"/>
    </row>
    <row r="63" spans="1:64" ht="15" thickBot="1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81">
        <v>0.48</v>
      </c>
      <c r="Z63" s="230">
        <v>0.62907938307594902</v>
      </c>
      <c r="AA63" s="230">
        <f t="shared" si="3"/>
        <v>0.10012109341373729</v>
      </c>
      <c r="AB63" s="135"/>
      <c r="AC63" s="181">
        <v>0.98</v>
      </c>
      <c r="AD63" s="230">
        <v>0.98987374043330001</v>
      </c>
      <c r="AE63" s="230">
        <f t="shared" si="4"/>
        <v>0.15754329882682344</v>
      </c>
      <c r="AF63" s="2"/>
      <c r="AG63" s="2"/>
      <c r="AH63" s="162">
        <v>0.9</v>
      </c>
      <c r="AI63" s="159">
        <f t="shared" si="20"/>
        <v>0.71500000000000008</v>
      </c>
      <c r="AJ63" s="159">
        <f t="shared" si="21"/>
        <v>0.47250000000000014</v>
      </c>
      <c r="AK63" s="159">
        <f t="shared" si="22"/>
        <v>0.20793750000000033</v>
      </c>
      <c r="AL63" s="159">
        <f t="shared" si="23"/>
        <v>-4.1141249999999907E-2</v>
      </c>
      <c r="AM63" s="159">
        <f t="shared" si="24"/>
        <v>-0.24116431249999959</v>
      </c>
      <c r="AN63" s="159">
        <f t="shared" si="25"/>
        <v>-0.36782499375000199</v>
      </c>
      <c r="AO63" s="159">
        <f t="shared" si="26"/>
        <v>-0.40968590351562728</v>
      </c>
      <c r="AP63" s="159">
        <f t="shared" si="27"/>
        <v>-0.369510485976555</v>
      </c>
      <c r="AQ63" s="159">
        <f t="shared" si="28"/>
        <v>-0.26314561785586044</v>
      </c>
      <c r="AR63" s="153"/>
      <c r="AS63" s="160">
        <f t="shared" si="9"/>
        <v>0.15067406648502898</v>
      </c>
      <c r="AT63" s="154"/>
      <c r="AU63" s="163">
        <v>0.9</v>
      </c>
      <c r="AV63" s="159">
        <f t="shared" si="10"/>
        <v>0.71500000000000008</v>
      </c>
      <c r="AW63" s="159">
        <f t="shared" si="11"/>
        <v>0.47250000000000014</v>
      </c>
      <c r="AX63" s="159">
        <f t="shared" si="12"/>
        <v>0.20793750000000033</v>
      </c>
      <c r="AY63" s="159">
        <f t="shared" si="13"/>
        <v>-4.1141249999999907E-2</v>
      </c>
      <c r="AZ63" s="159">
        <f t="shared" si="14"/>
        <v>-0.24116431249999959</v>
      </c>
      <c r="BA63" s="159">
        <f t="shared" si="15"/>
        <v>-0.36782499375000199</v>
      </c>
      <c r="BB63" s="159">
        <f t="shared" si="16"/>
        <v>-0.40968590351562728</v>
      </c>
      <c r="BC63" s="159">
        <f t="shared" si="17"/>
        <v>-0.369510485976555</v>
      </c>
      <c r="BD63" s="159">
        <f t="shared" si="18"/>
        <v>-0.26314561785586044</v>
      </c>
      <c r="BE63" s="157"/>
      <c r="BF63" s="161">
        <f t="shared" si="19"/>
        <v>0.94671308180992064</v>
      </c>
      <c r="BG63" s="135"/>
      <c r="BH63" s="135"/>
      <c r="BI63" s="135"/>
      <c r="BJ63" s="135"/>
      <c r="BK63" s="135"/>
      <c r="BL63" s="135"/>
    </row>
    <row r="64" spans="1:64" ht="15" thickBot="1">
      <c r="A64" s="135"/>
      <c r="B64" s="218" t="s">
        <v>87</v>
      </c>
      <c r="C64" s="228">
        <f>C$18/(R53*C$29^6+R51*C$29^5+R49*C$29^4+R47*C$29^3+R45*C$29^2+R43*C$29+R41)</f>
        <v>48.442722885346257</v>
      </c>
      <c r="D64" s="135" t="s">
        <v>1</v>
      </c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81">
        <v>0.49</v>
      </c>
      <c r="Z64" s="230">
        <v>0.63886503941902595</v>
      </c>
      <c r="AA64" s="230">
        <f t="shared" si="3"/>
        <v>0.10167852899213654</v>
      </c>
      <c r="AB64" s="135"/>
      <c r="AC64" s="181">
        <v>0.99</v>
      </c>
      <c r="AD64" s="230">
        <v>0.99496859315318198</v>
      </c>
      <c r="AE64" s="230">
        <f t="shared" si="4"/>
        <v>0.15835416982151784</v>
      </c>
      <c r="AF64" s="2"/>
      <c r="AG64" s="2"/>
      <c r="AH64" s="162">
        <v>0.92</v>
      </c>
      <c r="AI64" s="159">
        <f t="shared" si="20"/>
        <v>0.76960000000000006</v>
      </c>
      <c r="AJ64" s="159">
        <f t="shared" si="21"/>
        <v>0.56671999999999989</v>
      </c>
      <c r="AK64" s="159">
        <f t="shared" si="22"/>
        <v>0.33521920000000005</v>
      </c>
      <c r="AL64" s="159">
        <f t="shared" si="23"/>
        <v>0.10174699520000052</v>
      </c>
      <c r="AM64" s="159">
        <f t="shared" si="24"/>
        <v>-0.107736068096</v>
      </c>
      <c r="AN64" s="159">
        <f t="shared" si="25"/>
        <v>-0.2712864779468811</v>
      </c>
      <c r="AO64" s="159">
        <f t="shared" si="26"/>
        <v>-0.37370011487436372</v>
      </c>
      <c r="AP64" s="159">
        <f t="shared" si="27"/>
        <v>-0.40826421922888789</v>
      </c>
      <c r="AQ64" s="159">
        <f t="shared" si="28"/>
        <v>-0.37731575182517041</v>
      </c>
      <c r="AR64" s="153"/>
      <c r="AS64" s="160">
        <f t="shared" si="9"/>
        <v>0.15245737058054837</v>
      </c>
      <c r="AT64" s="154"/>
      <c r="AU64" s="163">
        <v>0.92</v>
      </c>
      <c r="AV64" s="159">
        <f t="shared" si="10"/>
        <v>0.76960000000000006</v>
      </c>
      <c r="AW64" s="159">
        <f t="shared" si="11"/>
        <v>0.56671999999999989</v>
      </c>
      <c r="AX64" s="159">
        <f t="shared" si="12"/>
        <v>0.33521920000000005</v>
      </c>
      <c r="AY64" s="159">
        <f t="shared" si="13"/>
        <v>0.10174699520000052</v>
      </c>
      <c r="AZ64" s="159">
        <f t="shared" si="14"/>
        <v>-0.107736068096</v>
      </c>
      <c r="BA64" s="159">
        <f t="shared" si="15"/>
        <v>-0.2712864779468811</v>
      </c>
      <c r="BB64" s="159">
        <f t="shared" si="16"/>
        <v>-0.37370011487436372</v>
      </c>
      <c r="BC64" s="159">
        <f t="shared" si="17"/>
        <v>-0.40826421922888789</v>
      </c>
      <c r="BD64" s="159">
        <f t="shared" si="18"/>
        <v>-0.37731575182517041</v>
      </c>
      <c r="BE64" s="157"/>
      <c r="BF64" s="161">
        <f t="shared" si="19"/>
        <v>0.95791791124190206</v>
      </c>
      <c r="BG64" s="135"/>
      <c r="BH64" s="135"/>
      <c r="BI64" s="135"/>
      <c r="BJ64" s="135"/>
      <c r="BK64" s="135"/>
      <c r="BL64" s="135"/>
    </row>
    <row r="65" spans="1:64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9"/>
      <c r="V65" s="135"/>
      <c r="W65" s="135"/>
      <c r="X65" s="135"/>
      <c r="Y65" s="181">
        <v>0.5</v>
      </c>
      <c r="Z65" s="230">
        <v>0.64852339241014301</v>
      </c>
      <c r="AA65" s="230">
        <f t="shared" si="3"/>
        <v>0.10321570361279922</v>
      </c>
      <c r="AB65" s="135"/>
      <c r="AC65" s="181">
        <v>1</v>
      </c>
      <c r="AD65" s="208">
        <v>1</v>
      </c>
      <c r="AE65" s="230">
        <f t="shared" si="4"/>
        <v>0.15915494309189535</v>
      </c>
      <c r="AF65" s="2"/>
      <c r="AG65" s="2"/>
      <c r="AH65" s="162">
        <v>0.94</v>
      </c>
      <c r="AI65" s="159">
        <f t="shared" si="20"/>
        <v>0.82539999999999991</v>
      </c>
      <c r="AJ65" s="159">
        <f t="shared" si="21"/>
        <v>0.66645999999999961</v>
      </c>
      <c r="AK65" s="159">
        <f t="shared" si="22"/>
        <v>0.4772767</v>
      </c>
      <c r="AL65" s="159">
        <f t="shared" si="23"/>
        <v>0.27438417640000057</v>
      </c>
      <c r="AM65" s="159">
        <f t="shared" si="24"/>
        <v>7.5124813996000128E-2</v>
      </c>
      <c r="AN65" s="159">
        <f t="shared" si="25"/>
        <v>-0.10403997590983982</v>
      </c>
      <c r="AO65" s="159">
        <f t="shared" si="26"/>
        <v>-0.24910466978758983</v>
      </c>
      <c r="AP65" s="159">
        <f t="shared" si="27"/>
        <v>-0.34981920176967263</v>
      </c>
      <c r="AQ65" s="159">
        <f t="shared" si="28"/>
        <v>-0.40058289155180304</v>
      </c>
      <c r="AR65" s="153"/>
      <c r="AS65" s="160">
        <f t="shared" si="9"/>
        <v>0.15419576952016179</v>
      </c>
      <c r="AT65" s="154"/>
      <c r="AU65" s="163">
        <v>0.94</v>
      </c>
      <c r="AV65" s="159">
        <f t="shared" si="10"/>
        <v>0.82539999999999991</v>
      </c>
      <c r="AW65" s="159">
        <f t="shared" si="11"/>
        <v>0.66645999999999961</v>
      </c>
      <c r="AX65" s="159">
        <f t="shared" si="12"/>
        <v>0.4772767</v>
      </c>
      <c r="AY65" s="159">
        <f t="shared" si="13"/>
        <v>0.27438417640000057</v>
      </c>
      <c r="AZ65" s="159">
        <f t="shared" si="14"/>
        <v>7.5124813996000128E-2</v>
      </c>
      <c r="BA65" s="159">
        <f t="shared" si="15"/>
        <v>-0.10403997590983982</v>
      </c>
      <c r="BB65" s="159">
        <f t="shared" si="16"/>
        <v>-0.24910466978758983</v>
      </c>
      <c r="BC65" s="159">
        <f t="shared" si="17"/>
        <v>-0.34981920176967263</v>
      </c>
      <c r="BD65" s="159">
        <f t="shared" si="18"/>
        <v>-0.40058289155180304</v>
      </c>
      <c r="BE65" s="157"/>
      <c r="BF65" s="161">
        <f t="shared" si="19"/>
        <v>0.96884059288289515</v>
      </c>
      <c r="BG65" s="135"/>
      <c r="BH65" s="135"/>
      <c r="BI65" s="135"/>
      <c r="BJ65" s="135"/>
      <c r="BK65" s="135"/>
      <c r="BL65" s="135"/>
    </row>
    <row r="66" spans="1:64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81"/>
      <c r="Z66" s="2"/>
      <c r="AA66" s="135"/>
      <c r="AB66" s="135"/>
      <c r="AC66" s="135"/>
      <c r="AD66" s="2"/>
      <c r="AE66" s="2"/>
      <c r="AF66" s="2"/>
      <c r="AG66" s="2"/>
      <c r="AH66" s="162">
        <v>0.96</v>
      </c>
      <c r="AI66" s="159">
        <f t="shared" si="20"/>
        <v>0.88240000000000007</v>
      </c>
      <c r="AJ66" s="159">
        <f t="shared" si="21"/>
        <v>0.77184000000000008</v>
      </c>
      <c r="AK66" s="159">
        <f t="shared" si="22"/>
        <v>0.63489119999999977</v>
      </c>
      <c r="AL66" s="159">
        <f t="shared" si="23"/>
        <v>0.47961999360000007</v>
      </c>
      <c r="AM66" s="159">
        <f t="shared" si="24"/>
        <v>0.31505518873600025</v>
      </c>
      <c r="AN66" s="159">
        <f t="shared" si="25"/>
        <v>0.15059554197504488</v>
      </c>
      <c r="AO66" s="159">
        <f t="shared" si="26"/>
        <v>-4.601314588928318E-3</v>
      </c>
      <c r="AP66" s="159">
        <f t="shared" si="27"/>
        <v>-0.14220642109905146</v>
      </c>
      <c r="AQ66" s="159">
        <f t="shared" si="28"/>
        <v>-0.25524332895465207</v>
      </c>
      <c r="AR66" s="153"/>
      <c r="AS66" s="160">
        <f t="shared" si="9"/>
        <v>0.15589060017706766</v>
      </c>
      <c r="AT66" s="154"/>
      <c r="AU66" s="163">
        <v>0.96</v>
      </c>
      <c r="AV66" s="159">
        <f t="shared" si="10"/>
        <v>0.88240000000000007</v>
      </c>
      <c r="AW66" s="159">
        <f t="shared" si="11"/>
        <v>0.77184000000000008</v>
      </c>
      <c r="AX66" s="159">
        <f t="shared" si="12"/>
        <v>0.63489119999999977</v>
      </c>
      <c r="AY66" s="159">
        <f t="shared" si="13"/>
        <v>0.47961999360000007</v>
      </c>
      <c r="AZ66" s="159">
        <f t="shared" si="14"/>
        <v>0.31505518873600025</v>
      </c>
      <c r="BA66" s="159">
        <f t="shared" si="15"/>
        <v>0.15059554197504488</v>
      </c>
      <c r="BB66" s="159">
        <f t="shared" si="16"/>
        <v>-4.601314588928318E-3</v>
      </c>
      <c r="BC66" s="159">
        <f t="shared" si="17"/>
        <v>-0.14220642109905146</v>
      </c>
      <c r="BD66" s="159">
        <f t="shared" si="18"/>
        <v>-0.25524332895465207</v>
      </c>
      <c r="BE66" s="157"/>
      <c r="BF66" s="161">
        <f t="shared" si="19"/>
        <v>0.97948952693608848</v>
      </c>
      <c r="BG66" s="135"/>
      <c r="BH66" s="135"/>
      <c r="BI66" s="135"/>
      <c r="BJ66" s="135"/>
      <c r="BK66" s="135"/>
      <c r="BL66" s="135"/>
    </row>
    <row r="67" spans="1:64" ht="15">
      <c r="A67" s="135"/>
      <c r="B67" s="171" t="s">
        <v>89</v>
      </c>
      <c r="C67" s="133"/>
      <c r="D67" s="133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81"/>
      <c r="Z67" s="135"/>
      <c r="AA67" s="135"/>
      <c r="AB67" s="135"/>
      <c r="AC67" s="135"/>
      <c r="AD67" s="2"/>
      <c r="AE67" s="2"/>
      <c r="AF67" s="2"/>
      <c r="AG67" s="2"/>
      <c r="AH67" s="162">
        <v>0.98</v>
      </c>
      <c r="AI67" s="159">
        <f t="shared" si="20"/>
        <v>0.94059999999999988</v>
      </c>
      <c r="AJ67" s="159">
        <f t="shared" si="21"/>
        <v>0.88297999999999965</v>
      </c>
      <c r="AK67" s="159">
        <f t="shared" si="22"/>
        <v>0.80886069999999943</v>
      </c>
      <c r="AL67" s="159">
        <f t="shared" si="23"/>
        <v>0.72044627479999912</v>
      </c>
      <c r="AM67" s="159">
        <f t="shared" si="24"/>
        <v>0.62035122372399698</v>
      </c>
      <c r="AN67" s="159">
        <f t="shared" si="25"/>
        <v>0.51151384877768269</v>
      </c>
      <c r="AO67" s="159">
        <f t="shared" si="26"/>
        <v>0.39709937637048753</v>
      </c>
      <c r="AP67" s="159">
        <f t="shared" si="27"/>
        <v>0.28039609112342978</v>
      </c>
      <c r="AQ67" s="159">
        <f t="shared" si="28"/>
        <v>0.16470808293837358</v>
      </c>
      <c r="AR67" s="153"/>
      <c r="AS67" s="160">
        <f t="shared" si="9"/>
        <v>0.15754321081998235</v>
      </c>
      <c r="AT67" s="154"/>
      <c r="AU67" s="163">
        <v>0.98</v>
      </c>
      <c r="AV67" s="159">
        <f t="shared" si="10"/>
        <v>0.94059999999999988</v>
      </c>
      <c r="AW67" s="159">
        <f t="shared" si="11"/>
        <v>0.88297999999999965</v>
      </c>
      <c r="AX67" s="159">
        <f t="shared" si="12"/>
        <v>0.80886069999999943</v>
      </c>
      <c r="AY67" s="159">
        <f t="shared" si="13"/>
        <v>0.72044627479999912</v>
      </c>
      <c r="AZ67" s="159">
        <f t="shared" si="14"/>
        <v>0.62035122372399698</v>
      </c>
      <c r="BA67" s="159">
        <f t="shared" si="15"/>
        <v>0.51151384877768269</v>
      </c>
      <c r="BB67" s="159">
        <f t="shared" si="16"/>
        <v>0.39709937637048753</v>
      </c>
      <c r="BC67" s="159">
        <f t="shared" si="17"/>
        <v>0.28039609112342978</v>
      </c>
      <c r="BD67" s="159">
        <f t="shared" si="18"/>
        <v>0.16470808293837358</v>
      </c>
      <c r="BE67" s="157"/>
      <c r="BF67" s="161">
        <f t="shared" si="19"/>
        <v>0.98987318570626348</v>
      </c>
      <c r="BG67" s="135"/>
      <c r="BH67" s="135"/>
      <c r="BI67" s="135"/>
      <c r="BJ67" s="135"/>
      <c r="BK67" s="135"/>
      <c r="BL67" s="135"/>
    </row>
    <row r="68" spans="1:64" ht="15" thickBot="1">
      <c r="A68" s="135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81"/>
      <c r="Z68" s="135"/>
      <c r="AA68" s="135"/>
      <c r="AB68" s="135"/>
      <c r="AC68" s="135"/>
      <c r="AD68" s="2"/>
      <c r="AE68" s="2"/>
      <c r="AF68" s="2"/>
      <c r="AG68" s="2"/>
      <c r="AH68" s="162">
        <v>1</v>
      </c>
      <c r="AI68" s="159">
        <f t="shared" si="20"/>
        <v>1</v>
      </c>
      <c r="AJ68" s="159">
        <f t="shared" si="21"/>
        <v>1</v>
      </c>
      <c r="AK68" s="159">
        <f t="shared" si="22"/>
        <v>1</v>
      </c>
      <c r="AL68" s="159">
        <f t="shared" si="23"/>
        <v>1</v>
      </c>
      <c r="AM68" s="159">
        <f t="shared" si="24"/>
        <v>1</v>
      </c>
      <c r="AN68" s="159">
        <f t="shared" si="25"/>
        <v>1</v>
      </c>
      <c r="AO68" s="159">
        <f t="shared" si="26"/>
        <v>1</v>
      </c>
      <c r="AP68" s="159">
        <f t="shared" si="27"/>
        <v>1</v>
      </c>
      <c r="AQ68" s="159">
        <f t="shared" si="28"/>
        <v>1</v>
      </c>
      <c r="AR68" s="153"/>
      <c r="AS68" s="160">
        <f t="shared" si="9"/>
        <v>0.15915500110422112</v>
      </c>
      <c r="AT68" s="154"/>
      <c r="AU68" s="155">
        <v>1</v>
      </c>
      <c r="AV68" s="165">
        <f t="shared" si="10"/>
        <v>1</v>
      </c>
      <c r="AW68" s="165">
        <f t="shared" si="11"/>
        <v>1</v>
      </c>
      <c r="AX68" s="165">
        <f t="shared" si="12"/>
        <v>1</v>
      </c>
      <c r="AY68" s="165">
        <f t="shared" si="13"/>
        <v>1</v>
      </c>
      <c r="AZ68" s="165">
        <f t="shared" si="14"/>
        <v>1</v>
      </c>
      <c r="BA68" s="165">
        <f t="shared" si="15"/>
        <v>1</v>
      </c>
      <c r="BB68" s="165">
        <f t="shared" si="16"/>
        <v>1</v>
      </c>
      <c r="BC68" s="165">
        <f t="shared" si="17"/>
        <v>1</v>
      </c>
      <c r="BD68" s="165">
        <f t="shared" si="18"/>
        <v>1</v>
      </c>
      <c r="BE68" s="157"/>
      <c r="BF68" s="166">
        <f t="shared" si="19"/>
        <v>1.0000003651483496</v>
      </c>
      <c r="BG68" s="135"/>
      <c r="BH68" s="135"/>
      <c r="BI68" s="135"/>
      <c r="BJ68" s="135"/>
      <c r="BK68" s="135"/>
      <c r="BL68" s="135"/>
    </row>
    <row r="69" spans="1:64" ht="15" thickBot="1">
      <c r="A69" s="135"/>
      <c r="B69" s="218" t="s">
        <v>87</v>
      </c>
      <c r="C69" s="228">
        <f>C$18/(R35*C$29^3+R33*C$29^2+R31*C$29+R29)</f>
        <v>48.507991226418646</v>
      </c>
      <c r="D69" s="135" t="s">
        <v>1</v>
      </c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</row>
    <row r="70" spans="1:64">
      <c r="A70" s="135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</row>
    <row r="71" spans="1:64">
      <c r="A71" s="135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</row>
    <row r="72" spans="1:64">
      <c r="A72" s="135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</row>
    <row r="73" spans="1:64">
      <c r="A73" s="135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</row>
    <row r="74" spans="1:64">
      <c r="A74" s="135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</row>
    <row r="75" spans="1:64">
      <c r="A75" s="135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70"/>
      <c r="Q75" s="170"/>
      <c r="R75" s="170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</row>
    <row r="76" spans="1:64">
      <c r="A76" s="135"/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135"/>
      <c r="P76" s="170"/>
      <c r="Q76" s="170"/>
      <c r="R76" s="170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</row>
    <row r="77" spans="1:64">
      <c r="A77" s="135"/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</row>
    <row r="78" spans="1:64">
      <c r="A78" s="135"/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135"/>
      <c r="P78" s="4"/>
      <c r="Q78" s="143"/>
      <c r="R78" s="143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</row>
    <row r="79" spans="1:64" ht="15">
      <c r="A79" s="135"/>
      <c r="B79" s="179" t="s">
        <v>142</v>
      </c>
      <c r="C79" s="205"/>
      <c r="D79" s="205"/>
      <c r="E79" s="205"/>
      <c r="F79" s="205"/>
      <c r="G79" s="205"/>
      <c r="H79" s="179" t="s">
        <v>143</v>
      </c>
      <c r="I79" s="179"/>
      <c r="J79" s="205"/>
      <c r="K79" s="205"/>
      <c r="L79" s="205"/>
      <c r="M79" s="205"/>
      <c r="N79" s="205"/>
      <c r="O79" s="135"/>
      <c r="P79" s="4"/>
      <c r="Q79" s="143"/>
      <c r="R79" s="143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</row>
    <row r="80" spans="1:64" ht="14" customHeight="1">
      <c r="A80" s="135"/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135"/>
      <c r="P80" s="4"/>
      <c r="Q80" s="143"/>
      <c r="R80" s="143"/>
      <c r="S80" s="135"/>
      <c r="T80" s="135"/>
      <c r="U80" s="139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</row>
    <row r="81" spans="1:64">
      <c r="A81" s="135"/>
      <c r="B81" s="217" t="s">
        <v>144</v>
      </c>
      <c r="C81" s="205"/>
      <c r="D81" s="205"/>
      <c r="E81" s="205"/>
      <c r="F81" s="205"/>
      <c r="G81" s="205"/>
      <c r="H81" s="217" t="s">
        <v>145</v>
      </c>
      <c r="I81" s="217"/>
      <c r="J81" s="205"/>
      <c r="K81" s="205"/>
      <c r="L81" s="205"/>
      <c r="M81" s="205"/>
      <c r="N81" s="205"/>
      <c r="O81" s="135"/>
      <c r="P81" s="4"/>
      <c r="Q81" s="143"/>
      <c r="R81" s="143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</row>
    <row r="82" spans="1:64">
      <c r="A82" s="135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135"/>
      <c r="P82" s="4"/>
      <c r="Q82" s="143"/>
      <c r="R82" s="143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</row>
    <row r="83" spans="1:64">
      <c r="A83" s="135"/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135"/>
      <c r="P83" s="4"/>
      <c r="Q83" s="143"/>
      <c r="R83" s="143"/>
      <c r="S83" s="135"/>
      <c r="T83" s="135"/>
      <c r="U83" s="135"/>
      <c r="V83" s="135"/>
      <c r="W83" s="135"/>
      <c r="X83" s="135"/>
      <c r="Y83" s="169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</row>
    <row r="84" spans="1:64" ht="15">
      <c r="A84" s="135"/>
      <c r="B84" s="179" t="s">
        <v>146</v>
      </c>
      <c r="C84" s="205"/>
      <c r="D84" s="205"/>
      <c r="E84" s="205"/>
      <c r="F84" s="205"/>
      <c r="G84" s="205"/>
      <c r="H84" s="179" t="s">
        <v>147</v>
      </c>
      <c r="I84" s="179"/>
      <c r="J84" s="205"/>
      <c r="K84" s="205"/>
      <c r="L84" s="205"/>
      <c r="M84" s="205"/>
      <c r="N84" s="205"/>
      <c r="O84" s="135"/>
      <c r="P84" s="4"/>
      <c r="Q84" s="143"/>
      <c r="R84" s="143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  <c r="BL84" s="135"/>
    </row>
    <row r="85" spans="1:64">
      <c r="A85" s="135"/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135"/>
      <c r="P85" s="4"/>
      <c r="Q85" s="143"/>
      <c r="R85" s="143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</row>
    <row r="86" spans="1:64">
      <c r="A86" s="135"/>
      <c r="B86" s="217" t="s">
        <v>148</v>
      </c>
      <c r="C86" s="205"/>
      <c r="D86" s="205"/>
      <c r="E86" s="205"/>
      <c r="F86" s="205"/>
      <c r="G86" s="205"/>
      <c r="H86" s="217" t="s">
        <v>149</v>
      </c>
      <c r="I86" s="217"/>
      <c r="J86" s="205"/>
      <c r="K86" s="205"/>
      <c r="L86" s="205"/>
      <c r="M86" s="205"/>
      <c r="N86" s="205"/>
      <c r="O86" s="135"/>
      <c r="P86" s="4"/>
      <c r="Q86" s="143"/>
      <c r="R86" s="143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5"/>
    </row>
    <row r="87" spans="1:64">
      <c r="A87" s="135"/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135"/>
      <c r="P87" s="4"/>
      <c r="Q87" s="143"/>
      <c r="R87" s="143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35"/>
      <c r="BJ87" s="135"/>
      <c r="BK87" s="135"/>
      <c r="BL87" s="135"/>
    </row>
    <row r="88" spans="1:64">
      <c r="A88" s="135"/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135"/>
      <c r="P88" s="4"/>
      <c r="Q88" s="143"/>
      <c r="R88" s="143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</row>
    <row r="89" spans="1:64" ht="15">
      <c r="A89" s="135"/>
      <c r="B89" s="179" t="s">
        <v>150</v>
      </c>
      <c r="C89" s="205"/>
      <c r="D89" s="205"/>
      <c r="E89" s="205"/>
      <c r="F89" s="205"/>
      <c r="G89" s="205"/>
      <c r="H89" s="179" t="s">
        <v>151</v>
      </c>
      <c r="I89" s="179"/>
      <c r="J89" s="205"/>
      <c r="K89" s="205"/>
      <c r="L89" s="205"/>
      <c r="M89" s="205"/>
      <c r="N89" s="205"/>
      <c r="O89" s="135"/>
      <c r="P89" s="4"/>
      <c r="Q89" s="143"/>
      <c r="R89" s="143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9"/>
      <c r="AE89" s="139"/>
      <c r="AF89" s="139"/>
      <c r="AG89" s="139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</row>
    <row r="90" spans="1:64">
      <c r="A90" s="135"/>
      <c r="B90" s="205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135"/>
      <c r="P90" s="4"/>
      <c r="Q90" s="143"/>
      <c r="R90" s="143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</row>
    <row r="91" spans="1:64">
      <c r="A91" s="135"/>
      <c r="B91" s="217" t="s">
        <v>152</v>
      </c>
      <c r="C91" s="205"/>
      <c r="D91" s="205"/>
      <c r="E91" s="205"/>
      <c r="F91" s="205"/>
      <c r="G91" s="205"/>
      <c r="H91" s="217" t="s">
        <v>125</v>
      </c>
      <c r="I91" s="217"/>
      <c r="J91" s="205"/>
      <c r="K91" s="205"/>
      <c r="L91" s="205"/>
      <c r="M91" s="205"/>
      <c r="N91" s="205"/>
      <c r="O91" s="135"/>
      <c r="P91" s="4"/>
      <c r="Q91" s="143"/>
      <c r="R91" s="143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80"/>
      <c r="AK91" s="180"/>
      <c r="AL91" s="180"/>
      <c r="AM91" s="180"/>
      <c r="AN91" s="180"/>
      <c r="AO91" s="180"/>
      <c r="AP91" s="180"/>
      <c r="AQ91" s="180"/>
      <c r="AR91" s="180"/>
      <c r="AS91" s="180"/>
      <c r="AT91" s="180"/>
      <c r="AU91" s="180"/>
      <c r="AV91" s="180"/>
      <c r="AW91" s="180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</row>
    <row r="92" spans="1:64">
      <c r="A92" s="135"/>
      <c r="B92" s="205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135"/>
      <c r="P92" s="4"/>
      <c r="Q92" s="143"/>
      <c r="R92" s="143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80"/>
      <c r="AK92" s="180"/>
      <c r="AL92" s="180"/>
      <c r="AM92" s="180"/>
      <c r="AN92" s="180"/>
      <c r="AO92" s="180"/>
      <c r="AP92" s="180"/>
      <c r="AQ92" s="180"/>
      <c r="AR92" s="180"/>
      <c r="AS92" s="180"/>
      <c r="AT92" s="180"/>
      <c r="AU92" s="180"/>
      <c r="AV92" s="180"/>
      <c r="AW92" s="180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</row>
    <row r="93" spans="1:64">
      <c r="A93" s="135"/>
      <c r="B93" s="205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135"/>
      <c r="P93" s="4"/>
      <c r="Q93" s="143"/>
      <c r="R93" s="143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44"/>
      <c r="AE93" s="144"/>
      <c r="AF93" s="144"/>
      <c r="AG93" s="144"/>
      <c r="AH93" s="144"/>
      <c r="AI93" s="144"/>
      <c r="AJ93" s="172"/>
      <c r="AK93" s="172"/>
      <c r="AL93" s="172"/>
      <c r="AM93" s="172"/>
      <c r="AN93" s="172"/>
      <c r="AO93" s="172"/>
      <c r="AP93" s="172"/>
      <c r="AQ93" s="172"/>
      <c r="AR93" s="172"/>
      <c r="AS93" s="172"/>
      <c r="AT93" s="172"/>
      <c r="AU93" s="172"/>
      <c r="AV93" s="172"/>
      <c r="AW93" s="180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</row>
    <row r="94" spans="1:64" ht="15">
      <c r="A94" s="135"/>
      <c r="B94" s="179" t="s">
        <v>153</v>
      </c>
      <c r="C94" s="205"/>
      <c r="D94" s="205"/>
      <c r="E94" s="205"/>
      <c r="F94" s="205"/>
      <c r="G94" s="205"/>
      <c r="H94" s="179" t="s">
        <v>154</v>
      </c>
      <c r="I94" s="179"/>
      <c r="J94" s="205"/>
      <c r="K94" s="205"/>
      <c r="L94" s="205"/>
      <c r="M94" s="205"/>
      <c r="N94" s="205"/>
      <c r="O94" s="135"/>
      <c r="P94" s="4"/>
      <c r="Q94" s="143"/>
      <c r="R94" s="143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8"/>
      <c r="AO94" s="182"/>
      <c r="AP94" s="148" t="s">
        <v>0</v>
      </c>
      <c r="AQ94" s="148" t="s">
        <v>2</v>
      </c>
      <c r="AR94" s="148" t="s">
        <v>3</v>
      </c>
      <c r="AS94" s="144"/>
      <c r="AT94" s="144"/>
      <c r="AU94" s="144"/>
      <c r="AV94" s="144"/>
      <c r="AW94" s="180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</row>
    <row r="95" spans="1:64">
      <c r="A95" s="135"/>
      <c r="B95" s="205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135"/>
      <c r="P95" s="4"/>
      <c r="Q95" s="143"/>
      <c r="R95" s="143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80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</row>
    <row r="96" spans="1:64">
      <c r="A96" s="135"/>
      <c r="B96" s="217" t="s">
        <v>155</v>
      </c>
      <c r="C96" s="205"/>
      <c r="D96" s="205"/>
      <c r="E96" s="205"/>
      <c r="F96" s="205"/>
      <c r="G96" s="205"/>
      <c r="H96" s="217" t="s">
        <v>156</v>
      </c>
      <c r="I96" s="217"/>
      <c r="J96" s="205"/>
      <c r="K96" s="205"/>
      <c r="L96" s="205"/>
      <c r="M96" s="205"/>
      <c r="N96" s="205"/>
      <c r="O96" s="135"/>
      <c r="P96" s="4"/>
      <c r="Q96" s="143"/>
      <c r="R96" s="143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51"/>
      <c r="AO96" s="151"/>
      <c r="AP96" s="151">
        <f>C$13</f>
        <v>10</v>
      </c>
      <c r="AQ96" s="151">
        <f>C$18</f>
        <v>5</v>
      </c>
      <c r="AR96" s="151">
        <f>(C$13-C$18)^2/(C$13+C$18)^2</f>
        <v>0.1111111111111111</v>
      </c>
      <c r="AS96" s="144"/>
      <c r="AT96" s="144"/>
      <c r="AU96" s="144"/>
      <c r="AV96" s="144"/>
      <c r="AW96" s="180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  <c r="BI96" s="135"/>
      <c r="BJ96" s="135"/>
      <c r="BK96" s="135"/>
      <c r="BL96" s="135"/>
    </row>
    <row r="97" spans="1:64">
      <c r="A97" s="135"/>
      <c r="B97" s="205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135"/>
      <c r="P97" s="4"/>
      <c r="Q97" s="132"/>
      <c r="R97" s="143"/>
      <c r="S97" s="135"/>
      <c r="T97" s="135"/>
      <c r="U97" s="139"/>
      <c r="V97" s="135"/>
      <c r="W97" s="135"/>
      <c r="X97" s="135"/>
      <c r="Y97" s="135"/>
      <c r="Z97" s="135"/>
      <c r="AA97" s="135"/>
      <c r="AB97" s="135"/>
      <c r="AC97" s="135"/>
      <c r="AD97" s="151"/>
      <c r="AE97" s="151"/>
      <c r="AF97" s="234"/>
      <c r="AG97" s="234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44"/>
      <c r="AV97" s="144"/>
      <c r="AW97" s="180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  <c r="BI97" s="135"/>
      <c r="BJ97" s="135"/>
      <c r="BK97" s="135"/>
      <c r="BL97" s="135"/>
    </row>
    <row r="98" spans="1:64">
      <c r="A98" s="135"/>
      <c r="B98" s="205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48"/>
      <c r="AE98" s="148"/>
      <c r="AF98" s="235"/>
      <c r="AG98" s="235"/>
      <c r="AH98" s="148"/>
      <c r="AI98" s="148"/>
      <c r="AJ98" s="148"/>
      <c r="AK98" s="148"/>
      <c r="AL98" s="148"/>
      <c r="AM98" s="148"/>
      <c r="AN98" s="148" t="s">
        <v>127</v>
      </c>
      <c r="AO98" s="148"/>
      <c r="AP98" s="148" t="s">
        <v>135</v>
      </c>
      <c r="AQ98" s="148"/>
      <c r="AR98" s="151"/>
      <c r="AS98" s="151"/>
      <c r="AT98" s="151"/>
      <c r="AU98" s="144"/>
      <c r="AV98" s="144"/>
      <c r="AW98" s="180"/>
      <c r="AX98" s="135"/>
      <c r="AY98" s="135"/>
      <c r="AZ98" s="135"/>
      <c r="BA98" s="135"/>
      <c r="BB98" s="135"/>
      <c r="BC98" s="135"/>
      <c r="BD98" s="135"/>
      <c r="BE98" s="135"/>
      <c r="BF98" s="135"/>
      <c r="BG98" s="135"/>
      <c r="BH98" s="135"/>
      <c r="BI98" s="135"/>
      <c r="BJ98" s="135"/>
      <c r="BK98" s="135"/>
      <c r="BL98" s="135"/>
    </row>
    <row r="99" spans="1:64" ht="15">
      <c r="A99" s="135"/>
      <c r="B99" s="179" t="s">
        <v>157</v>
      </c>
      <c r="C99" s="205"/>
      <c r="D99" s="205"/>
      <c r="E99" s="205"/>
      <c r="F99" s="205"/>
      <c r="G99" s="205"/>
      <c r="H99" s="179" t="s">
        <v>158</v>
      </c>
      <c r="I99" s="179"/>
      <c r="J99" s="205"/>
      <c r="K99" s="205"/>
      <c r="L99" s="205"/>
      <c r="M99" s="205"/>
      <c r="N99" s="20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48" t="s">
        <v>4</v>
      </c>
      <c r="AE99" s="148"/>
      <c r="AF99" s="235"/>
      <c r="AG99" s="235"/>
      <c r="AH99" s="148" t="s">
        <v>126</v>
      </c>
      <c r="AI99" s="148" t="s">
        <v>129</v>
      </c>
      <c r="AJ99" s="148" t="s">
        <v>128</v>
      </c>
      <c r="AK99" s="148" t="s">
        <v>131</v>
      </c>
      <c r="AL99" s="148" t="s">
        <v>127</v>
      </c>
      <c r="AM99" s="148" t="s">
        <v>130</v>
      </c>
      <c r="AN99" s="148" t="s">
        <v>132</v>
      </c>
      <c r="AO99" s="148" t="s">
        <v>134</v>
      </c>
      <c r="AP99" s="148" t="s">
        <v>132</v>
      </c>
      <c r="AQ99" s="146" t="s">
        <v>5</v>
      </c>
      <c r="AR99" s="146" t="s">
        <v>61</v>
      </c>
      <c r="AS99" s="151"/>
      <c r="AT99" s="148" t="s">
        <v>85</v>
      </c>
      <c r="AU99" s="148" t="s">
        <v>84</v>
      </c>
      <c r="AV99" s="148" t="s">
        <v>133</v>
      </c>
      <c r="AW99" s="180"/>
      <c r="AX99" s="135"/>
      <c r="AY99" s="135"/>
      <c r="AZ99" s="135"/>
      <c r="BA99" s="135"/>
      <c r="BB99" s="135"/>
      <c r="BC99" s="135"/>
      <c r="BD99" s="135"/>
      <c r="BE99" s="135"/>
      <c r="BF99" s="135"/>
      <c r="BG99" s="135"/>
      <c r="BH99" s="135"/>
      <c r="BI99" s="135"/>
      <c r="BJ99" s="135"/>
      <c r="BK99" s="135"/>
      <c r="BL99" s="135"/>
    </row>
    <row r="100" spans="1:64">
      <c r="A100" s="135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44"/>
      <c r="AE100" s="144"/>
      <c r="AF100" s="172"/>
      <c r="AG100" s="172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51"/>
      <c r="AT100" s="144"/>
      <c r="AU100" s="144"/>
      <c r="AV100" s="144"/>
      <c r="AW100" s="180"/>
      <c r="AX100" s="135"/>
      <c r="AY100" s="135"/>
      <c r="AZ100" s="135"/>
      <c r="BA100" s="135"/>
      <c r="BB100" s="135"/>
      <c r="BC100" s="135"/>
      <c r="BD100" s="135"/>
      <c r="BE100" s="135"/>
      <c r="BF100" s="135"/>
      <c r="BG100" s="135"/>
      <c r="BH100" s="135"/>
      <c r="BI100" s="135"/>
      <c r="BJ100" s="135"/>
      <c r="BK100" s="135"/>
      <c r="BL100" s="135"/>
    </row>
    <row r="101" spans="1:64">
      <c r="A101" s="135"/>
      <c r="B101" s="217" t="s">
        <v>159</v>
      </c>
      <c r="C101" s="205"/>
      <c r="D101" s="205"/>
      <c r="E101" s="205"/>
      <c r="F101" s="205"/>
      <c r="G101" s="205"/>
      <c r="H101" s="217" t="s">
        <v>160</v>
      </c>
      <c r="I101" s="217"/>
      <c r="J101" s="205"/>
      <c r="K101" s="205"/>
      <c r="L101" s="205"/>
      <c r="M101" s="205"/>
      <c r="N101" s="20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48"/>
      <c r="AE101" s="148"/>
      <c r="AF101" s="235"/>
      <c r="AG101" s="235"/>
      <c r="AH101" s="151"/>
      <c r="AI101" s="151"/>
      <c r="AJ101" s="151"/>
      <c r="AK101" s="151"/>
      <c r="AL101" s="151"/>
      <c r="AM101" s="151"/>
      <c r="AN101" s="151"/>
      <c r="AO101" s="151"/>
      <c r="AP101" s="151">
        <v>1</v>
      </c>
      <c r="AQ101" s="183">
        <f>SUM(AP$101:AP101)</f>
        <v>1</v>
      </c>
      <c r="AR101" s="184">
        <f t="shared" ref="AR101:AR111" si="31">PI()*($C$13+$C$18)*AQ101</f>
        <v>47.123889803846893</v>
      </c>
      <c r="AS101" s="151"/>
      <c r="AT101" s="151"/>
      <c r="AU101" s="151"/>
      <c r="AV101" s="151"/>
      <c r="AW101" s="180"/>
      <c r="AX101" s="135"/>
      <c r="AY101" s="135"/>
      <c r="AZ101" s="135"/>
      <c r="BA101" s="135"/>
      <c r="BB101" s="135"/>
      <c r="BC101" s="135"/>
      <c r="BD101" s="135"/>
      <c r="BE101" s="135"/>
      <c r="BF101" s="135"/>
      <c r="BG101" s="135"/>
      <c r="BH101" s="135"/>
      <c r="BI101" s="135"/>
      <c r="BJ101" s="135"/>
      <c r="BK101" s="135"/>
      <c r="BL101" s="135"/>
    </row>
    <row r="102" spans="1:64">
      <c r="A102" s="135"/>
      <c r="B102" s="205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48">
        <v>1</v>
      </c>
      <c r="AE102" s="148"/>
      <c r="AF102" s="235"/>
      <c r="AG102" s="235"/>
      <c r="AH102" s="151">
        <f>FACT(AD102)</f>
        <v>1</v>
      </c>
      <c r="AI102" s="151">
        <f>AD102-1</f>
        <v>0</v>
      </c>
      <c r="AJ102" s="151">
        <f t="shared" ref="AJ102:AJ111" si="32">FACT(AI102)</f>
        <v>1</v>
      </c>
      <c r="AK102" s="151">
        <f>(2*AD102-2)</f>
        <v>0</v>
      </c>
      <c r="AL102" s="151">
        <f t="shared" ref="AL102:AL111" si="33">FACT(AK102)</f>
        <v>1</v>
      </c>
      <c r="AM102" s="151">
        <f t="shared" ref="AM102:AM111" si="34">2^(2*AD102-1)</f>
        <v>2</v>
      </c>
      <c r="AN102" s="151">
        <f t="shared" ref="AN102:AN111" si="35">(AL102/(AH102*AJ102*AM102))^2</f>
        <v>0.25</v>
      </c>
      <c r="AO102" s="185">
        <f>AR$96^(AD102)</f>
        <v>0.1111111111111111</v>
      </c>
      <c r="AP102" s="185">
        <f>AN102*AO102</f>
        <v>2.7777777777777776E-2</v>
      </c>
      <c r="AQ102" s="186">
        <f>SUM(AP$101:AP102)</f>
        <v>1.0277777777777777</v>
      </c>
      <c r="AR102" s="184">
        <f t="shared" si="31"/>
        <v>48.432886742842634</v>
      </c>
      <c r="AS102" s="151"/>
      <c r="AT102" s="187">
        <v>1</v>
      </c>
      <c r="AU102" s="187">
        <v>4</v>
      </c>
      <c r="AV102" s="151">
        <f t="shared" ref="AV102:AV108" si="36">AT102/AU102</f>
        <v>0.25</v>
      </c>
      <c r="AW102" s="180"/>
      <c r="AX102" s="135"/>
      <c r="AY102" s="135"/>
      <c r="AZ102" s="135"/>
      <c r="BA102" s="135"/>
      <c r="BB102" s="135"/>
      <c r="BC102" s="135"/>
      <c r="BD102" s="135"/>
      <c r="BE102" s="135"/>
      <c r="BF102" s="135"/>
      <c r="BG102" s="135"/>
      <c r="BH102" s="135"/>
      <c r="BI102" s="135"/>
      <c r="BJ102" s="135"/>
      <c r="BK102" s="135"/>
      <c r="BL102" s="135"/>
    </row>
    <row r="103" spans="1:64">
      <c r="A103" s="135"/>
      <c r="B103" s="205"/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48">
        <v>2</v>
      </c>
      <c r="AE103" s="148"/>
      <c r="AF103" s="235"/>
      <c r="AG103" s="235"/>
      <c r="AH103" s="151">
        <f t="shared" ref="AH103:AH111" si="37">FACT(AD103)</f>
        <v>2</v>
      </c>
      <c r="AI103" s="151">
        <f t="shared" ref="AI103:AI111" si="38">AD103-1</f>
        <v>1</v>
      </c>
      <c r="AJ103" s="151">
        <f t="shared" si="32"/>
        <v>1</v>
      </c>
      <c r="AK103" s="151">
        <f t="shared" ref="AK103:AK111" si="39">(2*AD103-2)</f>
        <v>2</v>
      </c>
      <c r="AL103" s="151">
        <f t="shared" si="33"/>
        <v>2</v>
      </c>
      <c r="AM103" s="151">
        <f t="shared" si="34"/>
        <v>8</v>
      </c>
      <c r="AN103" s="151">
        <f t="shared" si="35"/>
        <v>1.5625E-2</v>
      </c>
      <c r="AO103" s="185">
        <f t="shared" ref="AO103:AO111" si="40">AR$96^(AD103)</f>
        <v>1.2345679012345678E-2</v>
      </c>
      <c r="AP103" s="185">
        <f t="shared" ref="AP103:AP111" si="41">AN103*AO103</f>
        <v>1.9290123456790122E-4</v>
      </c>
      <c r="AQ103" s="186">
        <f>SUM(AP$101:AP103)</f>
        <v>1.0279706790123455</v>
      </c>
      <c r="AR103" s="184">
        <f t="shared" si="31"/>
        <v>48.441976999363433</v>
      </c>
      <c r="AS103" s="151"/>
      <c r="AT103" s="187">
        <v>1</v>
      </c>
      <c r="AU103" s="187">
        <v>64</v>
      </c>
      <c r="AV103" s="151">
        <f t="shared" si="36"/>
        <v>1.5625E-2</v>
      </c>
      <c r="AW103" s="180"/>
      <c r="AX103" s="135"/>
      <c r="AY103" s="135"/>
      <c r="AZ103" s="135"/>
      <c r="BA103" s="135"/>
      <c r="BB103" s="135"/>
      <c r="BC103" s="135"/>
      <c r="BD103" s="135"/>
      <c r="BE103" s="135"/>
      <c r="BF103" s="135"/>
      <c r="BG103" s="135"/>
      <c r="BH103" s="135"/>
      <c r="BI103" s="135"/>
      <c r="BJ103" s="135"/>
      <c r="BK103" s="135"/>
      <c r="BL103" s="135"/>
    </row>
    <row r="104" spans="1:64" ht="15">
      <c r="A104" s="135"/>
      <c r="B104" s="179" t="s">
        <v>161</v>
      </c>
      <c r="C104" s="205"/>
      <c r="D104" s="205"/>
      <c r="E104" s="205"/>
      <c r="F104" s="205"/>
      <c r="G104" s="205"/>
      <c r="H104" s="179" t="s">
        <v>162</v>
      </c>
      <c r="I104" s="179"/>
      <c r="J104" s="205"/>
      <c r="K104" s="205"/>
      <c r="L104" s="205"/>
      <c r="M104" s="205"/>
      <c r="N104" s="20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48">
        <v>3</v>
      </c>
      <c r="AE104" s="148"/>
      <c r="AF104" s="235"/>
      <c r="AG104" s="235"/>
      <c r="AH104" s="151">
        <f t="shared" si="37"/>
        <v>6</v>
      </c>
      <c r="AI104" s="151">
        <f t="shared" si="38"/>
        <v>2</v>
      </c>
      <c r="AJ104" s="151">
        <f t="shared" si="32"/>
        <v>2</v>
      </c>
      <c r="AK104" s="151">
        <f t="shared" si="39"/>
        <v>4</v>
      </c>
      <c r="AL104" s="151">
        <f t="shared" si="33"/>
        <v>24</v>
      </c>
      <c r="AM104" s="151">
        <f t="shared" si="34"/>
        <v>32</v>
      </c>
      <c r="AN104" s="188">
        <f t="shared" si="35"/>
        <v>3.90625E-3</v>
      </c>
      <c r="AO104" s="185">
        <f t="shared" si="40"/>
        <v>1.3717421124828531E-3</v>
      </c>
      <c r="AP104" s="185">
        <f t="shared" si="41"/>
        <v>5.358367626886145E-6</v>
      </c>
      <c r="AQ104" s="186">
        <f>SUM(AP$101:AP104)</f>
        <v>1.0279760373799725</v>
      </c>
      <c r="AR104" s="184">
        <f t="shared" si="31"/>
        <v>48.442229506489014</v>
      </c>
      <c r="AS104" s="151"/>
      <c r="AT104" s="187">
        <v>1</v>
      </c>
      <c r="AU104" s="187">
        <v>256</v>
      </c>
      <c r="AV104" s="151">
        <f t="shared" si="36"/>
        <v>3.90625E-3</v>
      </c>
      <c r="AW104" s="180"/>
      <c r="AX104" s="135"/>
      <c r="AY104" s="135"/>
      <c r="AZ104" s="135"/>
      <c r="BA104" s="135"/>
      <c r="BB104" s="135"/>
      <c r="BC104" s="135"/>
      <c r="BD104" s="135"/>
      <c r="BE104" s="135"/>
      <c r="BF104" s="135"/>
      <c r="BG104" s="135"/>
      <c r="BH104" s="135"/>
      <c r="BI104" s="135"/>
      <c r="BJ104" s="135"/>
      <c r="BK104" s="135"/>
      <c r="BL104" s="135"/>
    </row>
    <row r="105" spans="1:64">
      <c r="A105" s="135"/>
      <c r="B105" s="205"/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48">
        <v>4</v>
      </c>
      <c r="AE105" s="148"/>
      <c r="AF105" s="235"/>
      <c r="AG105" s="235"/>
      <c r="AH105" s="151">
        <f t="shared" si="37"/>
        <v>24</v>
      </c>
      <c r="AI105" s="151">
        <f t="shared" si="38"/>
        <v>3</v>
      </c>
      <c r="AJ105" s="151">
        <f t="shared" si="32"/>
        <v>6</v>
      </c>
      <c r="AK105" s="151">
        <f t="shared" si="39"/>
        <v>6</v>
      </c>
      <c r="AL105" s="151">
        <f t="shared" si="33"/>
        <v>720</v>
      </c>
      <c r="AM105" s="151">
        <f t="shared" si="34"/>
        <v>128</v>
      </c>
      <c r="AN105" s="150">
        <f t="shared" si="35"/>
        <v>1.52587890625E-3</v>
      </c>
      <c r="AO105" s="185">
        <f t="shared" si="40"/>
        <v>1.5241579027587256E-4</v>
      </c>
      <c r="AP105" s="185">
        <f t="shared" si="41"/>
        <v>2.325680393613778E-7</v>
      </c>
      <c r="AQ105" s="186">
        <f>SUM(AP$101:AP105)</f>
        <v>1.0279762699480117</v>
      </c>
      <c r="AR105" s="184">
        <f t="shared" si="31"/>
        <v>48.442240465999674</v>
      </c>
      <c r="AS105" s="151"/>
      <c r="AT105" s="187">
        <v>25</v>
      </c>
      <c r="AU105" s="187">
        <v>16384</v>
      </c>
      <c r="AV105" s="151">
        <f t="shared" si="36"/>
        <v>1.52587890625E-3</v>
      </c>
      <c r="AW105" s="180"/>
      <c r="AX105" s="135"/>
      <c r="AY105" s="135"/>
      <c r="AZ105" s="135"/>
      <c r="BA105" s="135"/>
      <c r="BB105" s="135"/>
      <c r="BC105" s="135"/>
      <c r="BD105" s="135"/>
      <c r="BE105" s="135"/>
      <c r="BF105" s="135"/>
      <c r="BG105" s="135"/>
      <c r="BH105" s="135"/>
      <c r="BI105" s="135"/>
      <c r="BJ105" s="135"/>
      <c r="BK105" s="135"/>
      <c r="BL105" s="135"/>
    </row>
    <row r="106" spans="1:64">
      <c r="A106" s="135"/>
      <c r="B106" s="217" t="s">
        <v>163</v>
      </c>
      <c r="C106" s="205"/>
      <c r="D106" s="205"/>
      <c r="E106" s="205"/>
      <c r="F106" s="205"/>
      <c r="G106" s="205"/>
      <c r="H106" s="217" t="s">
        <v>164</v>
      </c>
      <c r="I106" s="217"/>
      <c r="J106" s="205"/>
      <c r="K106" s="205"/>
      <c r="L106" s="205"/>
      <c r="M106" s="205"/>
      <c r="N106" s="20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48">
        <v>5</v>
      </c>
      <c r="AE106" s="148"/>
      <c r="AF106" s="235"/>
      <c r="AG106" s="235"/>
      <c r="AH106" s="151">
        <f t="shared" si="37"/>
        <v>120</v>
      </c>
      <c r="AI106" s="151">
        <f t="shared" si="38"/>
        <v>4</v>
      </c>
      <c r="AJ106" s="151">
        <f t="shared" si="32"/>
        <v>24</v>
      </c>
      <c r="AK106" s="151">
        <f t="shared" si="39"/>
        <v>8</v>
      </c>
      <c r="AL106" s="187">
        <f t="shared" si="33"/>
        <v>40320</v>
      </c>
      <c r="AM106" s="151">
        <f t="shared" si="34"/>
        <v>512</v>
      </c>
      <c r="AN106" s="150">
        <f t="shared" si="35"/>
        <v>7.476806640625E-4</v>
      </c>
      <c r="AO106" s="185">
        <f t="shared" si="40"/>
        <v>1.6935087808430282E-5</v>
      </c>
      <c r="AP106" s="185">
        <f t="shared" si="41"/>
        <v>1.2662037698563902E-8</v>
      </c>
      <c r="AQ106" s="186">
        <f>SUM(AP$101:AP106)</f>
        <v>1.0279762826100494</v>
      </c>
      <c r="AR106" s="184">
        <f t="shared" si="31"/>
        <v>48.44224106268414</v>
      </c>
      <c r="AS106" s="151"/>
      <c r="AT106" s="187">
        <v>49</v>
      </c>
      <c r="AU106" s="187">
        <v>65536</v>
      </c>
      <c r="AV106" s="189">
        <f t="shared" si="36"/>
        <v>7.476806640625E-4</v>
      </c>
      <c r="AW106" s="180"/>
      <c r="AX106" s="135"/>
      <c r="AY106" s="135"/>
      <c r="AZ106" s="135"/>
      <c r="BA106" s="135"/>
      <c r="BB106" s="135"/>
      <c r="BC106" s="135"/>
      <c r="BD106" s="135"/>
      <c r="BE106" s="135"/>
      <c r="BF106" s="135"/>
      <c r="BG106" s="135"/>
      <c r="BH106" s="135"/>
      <c r="BI106" s="135"/>
      <c r="BJ106" s="135"/>
      <c r="BK106" s="135"/>
      <c r="BL106" s="135"/>
    </row>
    <row r="107" spans="1:64">
      <c r="A107" s="135"/>
      <c r="B107" s="205"/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48">
        <v>6</v>
      </c>
      <c r="AE107" s="148"/>
      <c r="AF107" s="235"/>
      <c r="AG107" s="235"/>
      <c r="AH107" s="151">
        <f t="shared" si="37"/>
        <v>720</v>
      </c>
      <c r="AI107" s="151">
        <f t="shared" si="38"/>
        <v>5</v>
      </c>
      <c r="AJ107" s="151">
        <f t="shared" si="32"/>
        <v>120</v>
      </c>
      <c r="AK107" s="151">
        <f t="shared" si="39"/>
        <v>10</v>
      </c>
      <c r="AL107" s="187">
        <f t="shared" si="33"/>
        <v>3628800</v>
      </c>
      <c r="AM107" s="187">
        <f t="shared" si="34"/>
        <v>2048</v>
      </c>
      <c r="AN107" s="150">
        <f t="shared" si="35"/>
        <v>4.2057037353515625E-4</v>
      </c>
      <c r="AO107" s="185">
        <f t="shared" si="40"/>
        <v>1.8816764231589204E-6</v>
      </c>
      <c r="AP107" s="185">
        <f t="shared" si="41"/>
        <v>7.9137735616024387E-10</v>
      </c>
      <c r="AQ107" s="186">
        <f>SUM(AP$101:AP107)</f>
        <v>1.0279762834014268</v>
      </c>
      <c r="AR107" s="184">
        <f t="shared" si="31"/>
        <v>48.442241099976918</v>
      </c>
      <c r="AS107" s="151"/>
      <c r="AT107" s="187">
        <v>441</v>
      </c>
      <c r="AU107" s="187">
        <v>1048576</v>
      </c>
      <c r="AV107" s="189">
        <f t="shared" si="36"/>
        <v>4.2057037353515625E-4</v>
      </c>
      <c r="AW107" s="180"/>
      <c r="AX107" s="135"/>
      <c r="AY107" s="135"/>
      <c r="AZ107" s="135"/>
      <c r="BA107" s="135"/>
      <c r="BB107" s="135"/>
      <c r="BC107" s="135"/>
      <c r="BD107" s="135"/>
      <c r="BE107" s="135"/>
      <c r="BF107" s="135"/>
      <c r="BG107" s="135"/>
      <c r="BH107" s="135"/>
      <c r="BI107" s="135"/>
      <c r="BJ107" s="135"/>
      <c r="BK107" s="135"/>
      <c r="BL107" s="135"/>
    </row>
    <row r="108" spans="1:64">
      <c r="A108" s="135"/>
      <c r="B108" s="205"/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48">
        <v>7</v>
      </c>
      <c r="AE108" s="148"/>
      <c r="AF108" s="235"/>
      <c r="AG108" s="235"/>
      <c r="AH108" s="187">
        <f t="shared" si="37"/>
        <v>5040</v>
      </c>
      <c r="AI108" s="151">
        <f t="shared" si="38"/>
        <v>6</v>
      </c>
      <c r="AJ108" s="151">
        <f t="shared" si="32"/>
        <v>720</v>
      </c>
      <c r="AK108" s="151">
        <f t="shared" si="39"/>
        <v>12</v>
      </c>
      <c r="AL108" s="187">
        <f t="shared" si="33"/>
        <v>479001600</v>
      </c>
      <c r="AM108" s="187">
        <f t="shared" si="34"/>
        <v>8192</v>
      </c>
      <c r="AN108" s="150">
        <f t="shared" si="35"/>
        <v>2.5963783264160156E-4</v>
      </c>
      <c r="AO108" s="185">
        <f t="shared" si="40"/>
        <v>2.0907515812876892E-7</v>
      </c>
      <c r="AP108" s="185">
        <f t="shared" si="41"/>
        <v>5.4283820915753685E-11</v>
      </c>
      <c r="AQ108" s="186">
        <f>SUM(AP$101:AP108)</f>
        <v>1.0279762834557107</v>
      </c>
      <c r="AR108" s="184">
        <f t="shared" si="31"/>
        <v>48.442241102534986</v>
      </c>
      <c r="AS108" s="151"/>
      <c r="AT108" s="187">
        <v>1089</v>
      </c>
      <c r="AU108" s="187">
        <v>4194304</v>
      </c>
      <c r="AV108" s="189">
        <f t="shared" si="36"/>
        <v>2.5963783264160156E-4</v>
      </c>
      <c r="AW108" s="180"/>
      <c r="AX108" s="135"/>
      <c r="AY108" s="135"/>
      <c r="AZ108" s="135"/>
      <c r="BA108" s="135"/>
      <c r="BB108" s="135"/>
      <c r="BC108" s="135"/>
      <c r="BD108" s="135"/>
      <c r="BE108" s="135"/>
      <c r="BF108" s="135"/>
      <c r="BG108" s="135"/>
      <c r="BH108" s="135"/>
      <c r="BI108" s="135"/>
      <c r="BJ108" s="135"/>
      <c r="BK108" s="135"/>
      <c r="BL108" s="135"/>
    </row>
    <row r="109" spans="1:64">
      <c r="A109" s="135"/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48">
        <v>8</v>
      </c>
      <c r="AE109" s="148"/>
      <c r="AF109" s="235"/>
      <c r="AG109" s="235"/>
      <c r="AH109" s="187">
        <f t="shared" si="37"/>
        <v>40320</v>
      </c>
      <c r="AI109" s="151">
        <f t="shared" si="38"/>
        <v>7</v>
      </c>
      <c r="AJ109" s="187">
        <f t="shared" si="32"/>
        <v>5040</v>
      </c>
      <c r="AK109" s="151">
        <f t="shared" si="39"/>
        <v>14</v>
      </c>
      <c r="AL109" s="187">
        <f t="shared" si="33"/>
        <v>87178291200</v>
      </c>
      <c r="AM109" s="187">
        <f t="shared" si="34"/>
        <v>32768</v>
      </c>
      <c r="AN109" s="150">
        <f t="shared" si="35"/>
        <v>1.7140153795480728E-4</v>
      </c>
      <c r="AO109" s="185">
        <f t="shared" si="40"/>
        <v>2.3230573125418767E-8</v>
      </c>
      <c r="AP109" s="185">
        <f t="shared" si="41"/>
        <v>3.981755961268391E-12</v>
      </c>
      <c r="AQ109" s="186">
        <f>SUM(AP$101:AP109)</f>
        <v>1.0279762834596924</v>
      </c>
      <c r="AR109" s="184">
        <f t="shared" si="31"/>
        <v>48.442241102722619</v>
      </c>
      <c r="AS109" s="151"/>
      <c r="AT109" s="187">
        <v>184041</v>
      </c>
      <c r="AU109" s="187">
        <v>1073741824</v>
      </c>
      <c r="AV109" s="189">
        <f>AT109/AU109</f>
        <v>1.7140153795480728E-4</v>
      </c>
      <c r="AW109" s="180"/>
      <c r="AX109" s="135"/>
      <c r="AY109" s="135"/>
      <c r="AZ109" s="135"/>
      <c r="BA109" s="135"/>
      <c r="BB109" s="135"/>
      <c r="BC109" s="135"/>
      <c r="BD109" s="135"/>
      <c r="BE109" s="135"/>
      <c r="BF109" s="135"/>
      <c r="BG109" s="135"/>
      <c r="BH109" s="135"/>
      <c r="BI109" s="135"/>
      <c r="BJ109" s="135"/>
      <c r="BK109" s="135"/>
      <c r="BL109" s="135"/>
    </row>
    <row r="110" spans="1:64">
      <c r="A110" s="135"/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48">
        <v>9</v>
      </c>
      <c r="AE110" s="148"/>
      <c r="AF110" s="235"/>
      <c r="AG110" s="235"/>
      <c r="AH110" s="187">
        <f t="shared" si="37"/>
        <v>362880</v>
      </c>
      <c r="AI110" s="151">
        <f t="shared" si="38"/>
        <v>8</v>
      </c>
      <c r="AJ110" s="187">
        <f t="shared" si="32"/>
        <v>40320</v>
      </c>
      <c r="AK110" s="151">
        <f t="shared" si="39"/>
        <v>16</v>
      </c>
      <c r="AL110" s="187">
        <f t="shared" si="33"/>
        <v>20922789888000</v>
      </c>
      <c r="AM110" s="187">
        <f t="shared" si="34"/>
        <v>131072</v>
      </c>
      <c r="AN110" s="150">
        <f t="shared" si="35"/>
        <v>1.190288458019495E-4</v>
      </c>
      <c r="AO110" s="185">
        <f t="shared" si="40"/>
        <v>2.5811747917131962E-9</v>
      </c>
      <c r="AP110" s="185">
        <f t="shared" si="41"/>
        <v>3.0723425627070918E-13</v>
      </c>
      <c r="AQ110" s="186">
        <f>SUM(AP$101:AP110)</f>
        <v>1.0279762834599997</v>
      </c>
      <c r="AR110" s="184">
        <f t="shared" si="31"/>
        <v>48.4422411027371</v>
      </c>
      <c r="AS110" s="151"/>
      <c r="AT110" s="151"/>
      <c r="AU110" s="144"/>
      <c r="AV110" s="144"/>
      <c r="AW110" s="180"/>
      <c r="AX110" s="135"/>
      <c r="AY110" s="135"/>
      <c r="AZ110" s="135"/>
      <c r="BA110" s="135"/>
      <c r="BB110" s="135"/>
      <c r="BC110" s="135"/>
      <c r="BD110" s="135"/>
      <c r="BE110" s="135"/>
      <c r="BF110" s="135"/>
      <c r="BG110" s="135"/>
      <c r="BH110" s="135"/>
      <c r="BI110" s="135"/>
      <c r="BJ110" s="135"/>
      <c r="BK110" s="135"/>
      <c r="BL110" s="135"/>
    </row>
    <row r="111" spans="1:64">
      <c r="A111" s="135"/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48">
        <v>10</v>
      </c>
      <c r="AE111" s="148"/>
      <c r="AF111" s="235"/>
      <c r="AG111" s="235"/>
      <c r="AH111" s="187">
        <f t="shared" si="37"/>
        <v>3628800</v>
      </c>
      <c r="AI111" s="151">
        <f t="shared" si="38"/>
        <v>9</v>
      </c>
      <c r="AJ111" s="187">
        <f t="shared" si="32"/>
        <v>362880</v>
      </c>
      <c r="AK111" s="151">
        <f t="shared" si="39"/>
        <v>18</v>
      </c>
      <c r="AL111" s="187">
        <f t="shared" si="33"/>
        <v>6402373705728000</v>
      </c>
      <c r="AM111" s="187">
        <f t="shared" si="34"/>
        <v>524288</v>
      </c>
      <c r="AN111" s="150">
        <f t="shared" si="35"/>
        <v>8.5998341091908514E-5</v>
      </c>
      <c r="AO111" s="185">
        <f t="shared" si="40"/>
        <v>2.8679719907924403E-10</v>
      </c>
      <c r="AP111" s="185">
        <f t="shared" si="41"/>
        <v>2.4664083350620819E-14</v>
      </c>
      <c r="AQ111" s="186">
        <f>SUM(AP$101:AP111)</f>
        <v>1.0279762834600243</v>
      </c>
      <c r="AR111" s="184">
        <f t="shared" si="31"/>
        <v>48.442241102738265</v>
      </c>
      <c r="AS111" s="151"/>
      <c r="AT111" s="151"/>
      <c r="AU111" s="144"/>
      <c r="AV111" s="144"/>
      <c r="AW111" s="180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</row>
    <row r="112" spans="1:64">
      <c r="A112" s="135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51"/>
      <c r="AE112" s="151"/>
      <c r="AF112" s="234"/>
      <c r="AG112" s="234"/>
      <c r="AH112" s="151"/>
      <c r="AI112" s="187"/>
      <c r="AJ112" s="151"/>
      <c r="AK112" s="151"/>
      <c r="AL112" s="151"/>
      <c r="AM112" s="187"/>
      <c r="AN112" s="151"/>
      <c r="AO112" s="189"/>
      <c r="AP112" s="151"/>
      <c r="AQ112" s="151"/>
      <c r="AR112" s="151"/>
      <c r="AS112" s="151"/>
      <c r="AT112" s="151"/>
      <c r="AU112" s="144"/>
      <c r="AV112" s="144"/>
      <c r="AW112" s="180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  <c r="BI112" s="135"/>
      <c r="BJ112" s="135"/>
      <c r="BK112" s="135"/>
      <c r="BL112" s="135"/>
    </row>
    <row r="113" spans="1:64">
      <c r="A113" s="135"/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9"/>
      <c r="V113" s="135"/>
      <c r="W113" s="135"/>
      <c r="X113" s="135"/>
      <c r="Y113" s="135"/>
      <c r="Z113" s="135"/>
      <c r="AA113" s="135"/>
      <c r="AB113" s="135"/>
      <c r="AC113" s="135"/>
      <c r="AD113" s="151"/>
      <c r="AE113" s="151"/>
      <c r="AF113" s="234"/>
      <c r="AG113" s="234"/>
      <c r="AH113" s="151"/>
      <c r="AI113" s="151"/>
      <c r="AJ113" s="151"/>
      <c r="AK113" s="151"/>
      <c r="AL113" s="151"/>
      <c r="AM113" s="151"/>
      <c r="AN113" s="151"/>
      <c r="AO113" s="190" t="s">
        <v>7</v>
      </c>
      <c r="AP113" s="151">
        <f>SUM(AP101:AP111)</f>
        <v>1.0279762834600243</v>
      </c>
      <c r="AQ113" s="191" t="s">
        <v>61</v>
      </c>
      <c r="AR113" s="192">
        <f>PI()*($C$13+$C$18)*AP113</f>
        <v>48.442241102738265</v>
      </c>
      <c r="AS113" s="151"/>
      <c r="AT113" s="151"/>
      <c r="AU113" s="144"/>
      <c r="AV113" s="144"/>
      <c r="AW113" s="180"/>
      <c r="AX113" s="135"/>
      <c r="AY113" s="135"/>
      <c r="AZ113" s="135"/>
      <c r="BA113" s="135"/>
      <c r="BB113" s="135"/>
      <c r="BC113" s="135"/>
      <c r="BD113" s="135"/>
      <c r="BE113" s="135"/>
      <c r="BF113" s="135"/>
      <c r="BG113" s="135"/>
      <c r="BH113" s="135"/>
      <c r="BI113" s="135"/>
      <c r="BJ113" s="135"/>
      <c r="BK113" s="135"/>
      <c r="BL113" s="135"/>
    </row>
    <row r="114" spans="1:64">
      <c r="A114" s="135"/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51"/>
      <c r="AE114" s="151"/>
      <c r="AF114" s="234"/>
      <c r="AG114" s="234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44"/>
      <c r="AV114" s="144"/>
      <c r="AW114" s="180"/>
      <c r="AX114" s="135"/>
      <c r="AY114" s="135"/>
      <c r="AZ114" s="135"/>
      <c r="BA114" s="135"/>
      <c r="BB114" s="135"/>
      <c r="BC114" s="135"/>
      <c r="BD114" s="135"/>
      <c r="BE114" s="135"/>
      <c r="BF114" s="135"/>
      <c r="BG114" s="135"/>
      <c r="BH114" s="135"/>
      <c r="BI114" s="135"/>
      <c r="BJ114" s="135"/>
      <c r="BK114" s="135"/>
      <c r="BL114" s="135"/>
    </row>
    <row r="115" spans="1:64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51"/>
      <c r="AE115" s="151"/>
      <c r="AF115" s="234"/>
      <c r="AG115" s="234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44"/>
      <c r="AV115" s="144"/>
      <c r="AW115" s="180"/>
      <c r="AX115" s="135"/>
      <c r="AY115" s="135"/>
      <c r="AZ115" s="135"/>
      <c r="BA115" s="135"/>
      <c r="BB115" s="135"/>
      <c r="BC115" s="135"/>
      <c r="BD115" s="135"/>
      <c r="BE115" s="135"/>
      <c r="BF115" s="135"/>
      <c r="BG115" s="135"/>
      <c r="BH115" s="135"/>
      <c r="BI115" s="135"/>
      <c r="BJ115" s="135"/>
      <c r="BK115" s="135"/>
      <c r="BL115" s="135"/>
    </row>
    <row r="116" spans="1:64">
      <c r="A116" s="135"/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44"/>
      <c r="AE116" s="144"/>
      <c r="AF116" s="172"/>
      <c r="AG116" s="172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80"/>
      <c r="AX116" s="135"/>
      <c r="AY116" s="135"/>
      <c r="AZ116" s="135"/>
      <c r="BA116" s="135"/>
      <c r="BB116" s="135"/>
      <c r="BC116" s="135"/>
      <c r="BD116" s="135"/>
      <c r="BE116" s="135"/>
      <c r="BF116" s="135"/>
      <c r="BG116" s="135"/>
      <c r="BH116" s="135"/>
      <c r="BI116" s="135"/>
      <c r="BJ116" s="135"/>
      <c r="BK116" s="135"/>
      <c r="BL116" s="135"/>
    </row>
    <row r="117" spans="1:64" ht="15">
      <c r="A117" s="135"/>
      <c r="B117" s="135"/>
      <c r="C117" s="135"/>
      <c r="D117" s="135"/>
      <c r="E117" s="233"/>
      <c r="F117" s="133"/>
      <c r="G117" s="133"/>
      <c r="H117" s="133"/>
      <c r="I117" s="133"/>
      <c r="J117" s="133"/>
      <c r="K117" s="133"/>
      <c r="L117" s="133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93"/>
      <c r="AE117" s="193"/>
      <c r="AF117" s="236"/>
      <c r="AG117" s="236"/>
      <c r="AH117" s="144"/>
      <c r="AI117" s="144"/>
      <c r="AJ117" s="144"/>
      <c r="AK117" s="144"/>
      <c r="AL117" s="144"/>
      <c r="AM117" s="144"/>
      <c r="AN117" s="148"/>
      <c r="AO117" s="182"/>
      <c r="AP117" s="148" t="s">
        <v>0</v>
      </c>
      <c r="AQ117" s="148" t="s">
        <v>2</v>
      </c>
      <c r="AR117" s="148" t="s">
        <v>3</v>
      </c>
      <c r="AS117" s="144"/>
      <c r="AT117" s="144"/>
      <c r="AU117" s="144"/>
      <c r="AV117" s="144"/>
      <c r="AW117" s="180"/>
      <c r="AX117" s="135"/>
      <c r="AY117" s="135"/>
      <c r="AZ117" s="135"/>
      <c r="BA117" s="135"/>
      <c r="BB117" s="135"/>
      <c r="BC117" s="135"/>
      <c r="BD117" s="135"/>
      <c r="BE117" s="135"/>
      <c r="BF117" s="135"/>
      <c r="BG117" s="135"/>
      <c r="BH117" s="135"/>
      <c r="BI117" s="135"/>
      <c r="BJ117" s="135"/>
      <c r="BK117" s="135"/>
      <c r="BL117" s="135"/>
    </row>
    <row r="118" spans="1:64">
      <c r="A118" s="135"/>
      <c r="B118" s="135"/>
      <c r="C118" s="135"/>
      <c r="D118" s="135"/>
      <c r="E118" s="247" t="s">
        <v>98</v>
      </c>
      <c r="F118" s="248"/>
      <c r="G118" s="248"/>
      <c r="H118" s="133"/>
      <c r="I118" s="133"/>
      <c r="J118" s="133"/>
      <c r="K118" s="133"/>
      <c r="L118" s="133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44"/>
      <c r="AE118" s="144"/>
      <c r="AF118" s="172"/>
      <c r="AG118" s="172"/>
      <c r="AH118" s="144"/>
      <c r="AI118" s="144"/>
      <c r="AJ118" s="144"/>
      <c r="AK118" s="144"/>
      <c r="AL118" s="144"/>
      <c r="AM118" s="144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80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  <c r="BI118" s="135"/>
      <c r="BJ118" s="135"/>
      <c r="BK118" s="135"/>
      <c r="BL118" s="135"/>
    </row>
    <row r="119" spans="1:64">
      <c r="A119" s="135"/>
      <c r="B119" s="135"/>
      <c r="C119" s="135"/>
      <c r="D119" s="135"/>
      <c r="E119" s="248"/>
      <c r="F119" s="248"/>
      <c r="G119" s="248"/>
      <c r="H119" s="133"/>
      <c r="I119" s="133"/>
      <c r="J119" s="133"/>
      <c r="K119" s="133"/>
      <c r="L119" s="133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44"/>
      <c r="AE119" s="144"/>
      <c r="AF119" s="172"/>
      <c r="AG119" s="172"/>
      <c r="AH119" s="144"/>
      <c r="AI119" s="144"/>
      <c r="AJ119" s="144"/>
      <c r="AK119" s="144"/>
      <c r="AL119" s="144"/>
      <c r="AM119" s="144"/>
      <c r="AN119" s="151"/>
      <c r="AO119" s="151"/>
      <c r="AP119" s="151">
        <f>C$13</f>
        <v>10</v>
      </c>
      <c r="AQ119" s="151">
        <f>C$18</f>
        <v>5</v>
      </c>
      <c r="AR119" s="151">
        <f>(C$13-C$18)^2/(C$13+C$18)^2</f>
        <v>0.1111111111111111</v>
      </c>
      <c r="AS119" s="144"/>
      <c r="AT119" s="144"/>
      <c r="AU119" s="144"/>
      <c r="AV119" s="144"/>
      <c r="AW119" s="180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  <c r="BI119" s="135"/>
      <c r="BJ119" s="135"/>
      <c r="BK119" s="135"/>
      <c r="BL119" s="135"/>
    </row>
    <row r="120" spans="1:64">
      <c r="A120" s="135"/>
      <c r="B120" s="135"/>
      <c r="C120" s="135"/>
      <c r="D120" s="135"/>
      <c r="E120" s="133"/>
      <c r="F120" s="133"/>
      <c r="G120" s="133"/>
      <c r="H120" s="133"/>
      <c r="I120" s="133"/>
      <c r="J120" s="133"/>
      <c r="K120" s="133"/>
      <c r="L120" s="133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51"/>
      <c r="AE120" s="151"/>
      <c r="AF120" s="234"/>
      <c r="AG120" s="234"/>
      <c r="AH120" s="144"/>
      <c r="AI120" s="144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44"/>
      <c r="AV120" s="144"/>
      <c r="AW120" s="180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</row>
    <row r="121" spans="1:64" ht="15">
      <c r="A121" s="135"/>
      <c r="B121" s="135"/>
      <c r="C121" s="135"/>
      <c r="D121" s="135"/>
      <c r="E121" s="233"/>
      <c r="F121" s="133"/>
      <c r="G121" s="133"/>
      <c r="H121" s="133"/>
      <c r="I121" s="133"/>
      <c r="J121" s="133"/>
      <c r="K121" s="133"/>
      <c r="L121" s="133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51"/>
      <c r="AE121" s="151"/>
      <c r="AF121" s="234"/>
      <c r="AG121" s="234"/>
      <c r="AH121" s="144"/>
      <c r="AI121" s="144"/>
      <c r="AJ121" s="148"/>
      <c r="AK121" s="151"/>
      <c r="AL121" s="148"/>
      <c r="AM121" s="148"/>
      <c r="AN121" s="148" t="s">
        <v>127</v>
      </c>
      <c r="AO121" s="148"/>
      <c r="AP121" s="148" t="s">
        <v>135</v>
      </c>
      <c r="AQ121" s="148"/>
      <c r="AR121" s="151"/>
      <c r="AS121" s="151"/>
      <c r="AT121" s="151"/>
      <c r="AU121" s="144"/>
      <c r="AV121" s="144"/>
      <c r="AW121" s="180"/>
      <c r="AX121" s="135"/>
      <c r="AY121" s="135"/>
      <c r="AZ121" s="135"/>
      <c r="BA121" s="135"/>
      <c r="BB121" s="135"/>
      <c r="BC121" s="135"/>
      <c r="BD121" s="135"/>
      <c r="BE121" s="135"/>
      <c r="BF121" s="135"/>
      <c r="BG121" s="135"/>
      <c r="BH121" s="135"/>
      <c r="BI121" s="135"/>
      <c r="BJ121" s="135"/>
      <c r="BK121" s="135"/>
      <c r="BL121" s="135"/>
    </row>
    <row r="122" spans="1:64">
      <c r="A122" s="135"/>
      <c r="B122" s="135"/>
      <c r="C122" s="135"/>
      <c r="D122" s="135"/>
      <c r="E122" s="135"/>
      <c r="F122" s="135"/>
      <c r="G122" s="141"/>
      <c r="H122" s="135"/>
      <c r="I122" s="197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  <c r="AB122" s="135"/>
      <c r="AC122" s="135"/>
      <c r="AD122" s="151"/>
      <c r="AE122" s="151"/>
      <c r="AF122" s="234"/>
      <c r="AG122" s="234"/>
      <c r="AH122" s="144"/>
      <c r="AI122" s="144"/>
      <c r="AJ122" s="148" t="s">
        <v>4</v>
      </c>
      <c r="AK122" s="148" t="s">
        <v>126</v>
      </c>
      <c r="AL122" s="148" t="s">
        <v>129</v>
      </c>
      <c r="AM122" s="148" t="s">
        <v>131</v>
      </c>
      <c r="AN122" s="148" t="s">
        <v>132</v>
      </c>
      <c r="AO122" s="148" t="s">
        <v>134</v>
      </c>
      <c r="AP122" s="148" t="s">
        <v>132</v>
      </c>
      <c r="AQ122" s="146" t="s">
        <v>5</v>
      </c>
      <c r="AR122" s="146" t="s">
        <v>61</v>
      </c>
      <c r="AS122" s="151"/>
      <c r="AT122" s="148" t="s">
        <v>85</v>
      </c>
      <c r="AU122" s="148" t="s">
        <v>84</v>
      </c>
      <c r="AV122" s="148" t="s">
        <v>133</v>
      </c>
      <c r="AW122" s="180"/>
      <c r="AX122" s="135"/>
      <c r="AY122" s="135"/>
      <c r="AZ122" s="135"/>
      <c r="BA122" s="135"/>
      <c r="BB122" s="135"/>
      <c r="BC122" s="135"/>
      <c r="BD122" s="135"/>
      <c r="BE122" s="135"/>
      <c r="BF122" s="135"/>
      <c r="BG122" s="135"/>
      <c r="BH122" s="135"/>
      <c r="BI122" s="135"/>
      <c r="BJ122" s="135"/>
      <c r="BK122" s="135"/>
      <c r="BL122" s="135"/>
    </row>
    <row r="123" spans="1:64" ht="15">
      <c r="A123" s="135"/>
      <c r="B123" s="135"/>
      <c r="C123" s="135"/>
      <c r="D123" s="135"/>
      <c r="E123" s="238" t="s">
        <v>4</v>
      </c>
      <c r="F123" s="244" t="s">
        <v>140</v>
      </c>
      <c r="G123" s="244" t="s">
        <v>141</v>
      </c>
      <c r="H123" s="213"/>
      <c r="I123" s="249"/>
      <c r="J123" s="238" t="s">
        <v>5</v>
      </c>
      <c r="K123" s="231"/>
      <c r="L123" s="238" t="s">
        <v>61</v>
      </c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51"/>
      <c r="AE123" s="151"/>
      <c r="AF123" s="234"/>
      <c r="AG123" s="234"/>
      <c r="AH123" s="144"/>
      <c r="AI123" s="144"/>
      <c r="AJ123" s="144"/>
      <c r="AK123" s="144"/>
      <c r="AL123" s="144"/>
      <c r="AM123" s="144"/>
      <c r="AN123" s="144"/>
      <c r="AO123" s="144"/>
      <c r="AP123" s="144"/>
      <c r="AQ123" s="144"/>
      <c r="AR123" s="144"/>
      <c r="AS123" s="151"/>
      <c r="AT123" s="144"/>
      <c r="AU123" s="144"/>
      <c r="AV123" s="144"/>
      <c r="AW123" s="180"/>
      <c r="AX123" s="135"/>
      <c r="AY123" s="135"/>
      <c r="AZ123" s="135"/>
      <c r="BA123" s="135"/>
      <c r="BB123" s="135"/>
      <c r="BC123" s="135"/>
      <c r="BD123" s="135"/>
      <c r="BE123" s="135"/>
      <c r="BF123" s="135"/>
      <c r="BG123" s="135"/>
      <c r="BH123" s="135"/>
      <c r="BI123" s="135"/>
      <c r="BJ123" s="135"/>
      <c r="BK123" s="135"/>
      <c r="BL123" s="135"/>
    </row>
    <row r="124" spans="1:64" ht="15">
      <c r="A124" s="135"/>
      <c r="B124" s="135"/>
      <c r="C124" s="135"/>
      <c r="D124" s="135"/>
      <c r="E124" s="245"/>
      <c r="F124" s="245"/>
      <c r="G124" s="246"/>
      <c r="H124" s="214"/>
      <c r="I124" s="250"/>
      <c r="J124" s="239"/>
      <c r="K124" s="232"/>
      <c r="L124" s="239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51"/>
      <c r="AE124" s="151"/>
      <c r="AF124" s="234"/>
      <c r="AG124" s="234"/>
      <c r="AH124" s="144"/>
      <c r="AI124" s="144"/>
      <c r="AJ124" s="148"/>
      <c r="AK124" s="151"/>
      <c r="AL124" s="151"/>
      <c r="AM124" s="151"/>
      <c r="AN124" s="151"/>
      <c r="AO124" s="151"/>
      <c r="AP124" s="151">
        <v>1</v>
      </c>
      <c r="AQ124" s="183">
        <f>SUM(AP$124:AP124)</f>
        <v>1</v>
      </c>
      <c r="AR124" s="184">
        <f t="shared" ref="AR124:AR134" si="42">PI()*($C$13+$C$18)*AQ124</f>
        <v>47.123889803846893</v>
      </c>
      <c r="AS124" s="151"/>
      <c r="AT124" s="151"/>
      <c r="AU124" s="151"/>
      <c r="AV124" s="151"/>
      <c r="AW124" s="180"/>
      <c r="AX124" s="135"/>
      <c r="AY124" s="135"/>
      <c r="AZ124" s="135"/>
      <c r="BA124" s="135"/>
      <c r="BB124" s="135"/>
      <c r="BC124" s="135"/>
      <c r="BD124" s="135"/>
      <c r="BE124" s="135"/>
      <c r="BF124" s="135"/>
      <c r="BG124" s="135"/>
      <c r="BH124" s="135"/>
      <c r="BI124" s="135"/>
      <c r="BJ124" s="135"/>
      <c r="BK124" s="135"/>
      <c r="BL124" s="135"/>
    </row>
    <row r="125" spans="1:64">
      <c r="A125" s="135"/>
      <c r="B125" s="135"/>
      <c r="C125" s="135"/>
      <c r="D125" s="135"/>
      <c r="E125" s="135"/>
      <c r="F125" s="172"/>
      <c r="G125" s="172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51"/>
      <c r="AE125" s="151"/>
      <c r="AF125" s="234"/>
      <c r="AG125" s="234"/>
      <c r="AH125" s="144"/>
      <c r="AI125" s="144"/>
      <c r="AJ125" s="148">
        <v>1</v>
      </c>
      <c r="AK125" s="151">
        <f>FACT(AJ125)</f>
        <v>1</v>
      </c>
      <c r="AL125" s="151">
        <f>AJ125-1</f>
        <v>0</v>
      </c>
      <c r="AM125" s="151">
        <f t="shared" ref="AM125:AM164" si="43">(2*AJ125-2)</f>
        <v>0</v>
      </c>
      <c r="AN125" s="151">
        <f t="shared" ref="AN125:AN134" si="44">(FACT(AM125)/(FACT(AJ125)*FACT(AL125)*2^(2*AJ125-1)))^2</f>
        <v>0.25</v>
      </c>
      <c r="AO125" s="185">
        <f t="shared" ref="AO125:AO134" si="45">AR$119^(AJ125)</f>
        <v>0.1111111111111111</v>
      </c>
      <c r="AP125" s="185">
        <f>AN125*AO125</f>
        <v>2.7777777777777776E-2</v>
      </c>
      <c r="AQ125" s="186">
        <f>SUM(AP$124:AP125)</f>
        <v>1.0277777777777777</v>
      </c>
      <c r="AR125" s="184">
        <f t="shared" si="42"/>
        <v>48.432886742842634</v>
      </c>
      <c r="AS125" s="151"/>
      <c r="AT125" s="187">
        <v>1</v>
      </c>
      <c r="AU125" s="187">
        <v>4</v>
      </c>
      <c r="AV125" s="151">
        <f t="shared" ref="AV125:AV131" si="46">AT125/AU125</f>
        <v>0.25</v>
      </c>
      <c r="AW125" s="180"/>
      <c r="AX125" s="135"/>
      <c r="AY125" s="135"/>
      <c r="AZ125" s="135"/>
      <c r="BA125" s="135"/>
      <c r="BB125" s="135"/>
      <c r="BC125" s="135"/>
      <c r="BD125" s="135"/>
      <c r="BE125" s="135"/>
      <c r="BF125" s="135"/>
      <c r="BG125" s="135"/>
      <c r="BH125" s="135"/>
      <c r="BI125" s="135"/>
      <c r="BJ125" s="135"/>
      <c r="BK125" s="135"/>
      <c r="BL125" s="135"/>
    </row>
    <row r="126" spans="1:64">
      <c r="A126" s="135"/>
      <c r="B126" s="135"/>
      <c r="C126" s="135"/>
      <c r="D126" s="135"/>
      <c r="E126" s="173"/>
      <c r="F126" s="199"/>
      <c r="G126" s="199"/>
      <c r="H126" s="200">
        <v>1</v>
      </c>
      <c r="I126" s="200"/>
      <c r="J126" s="174">
        <f>SUM(H$126:H126)</f>
        <v>1</v>
      </c>
      <c r="K126" s="174"/>
      <c r="L126" s="175">
        <f>PI()*($C$13+$C$18)*J126</f>
        <v>47.123889803846893</v>
      </c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  <c r="AB126" s="135"/>
      <c r="AC126" s="135"/>
      <c r="AD126" s="151"/>
      <c r="AE126" s="151"/>
      <c r="AF126" s="234"/>
      <c r="AG126" s="234"/>
      <c r="AH126" s="144"/>
      <c r="AI126" s="144"/>
      <c r="AJ126" s="148">
        <v>2</v>
      </c>
      <c r="AK126" s="151">
        <f t="shared" ref="AK126:AK164" si="47">FACT(AJ126)</f>
        <v>2</v>
      </c>
      <c r="AL126" s="151">
        <f t="shared" ref="AL126:AL164" si="48">AJ126-1</f>
        <v>1</v>
      </c>
      <c r="AM126" s="151">
        <f t="shared" si="43"/>
        <v>2</v>
      </c>
      <c r="AN126" s="151">
        <f t="shared" si="44"/>
        <v>1.5625E-2</v>
      </c>
      <c r="AO126" s="185">
        <f t="shared" si="45"/>
        <v>1.2345679012345678E-2</v>
      </c>
      <c r="AP126" s="185">
        <f t="shared" ref="AP126:AP133" si="49">AN126*AO126</f>
        <v>1.9290123456790122E-4</v>
      </c>
      <c r="AQ126" s="186">
        <f>SUM(AP$124:AP126)</f>
        <v>1.0279706790123455</v>
      </c>
      <c r="AR126" s="184">
        <f t="shared" si="42"/>
        <v>48.441976999363433</v>
      </c>
      <c r="AS126" s="151"/>
      <c r="AT126" s="187">
        <v>1</v>
      </c>
      <c r="AU126" s="187">
        <v>64</v>
      </c>
      <c r="AV126" s="151">
        <f t="shared" si="46"/>
        <v>1.5625E-2</v>
      </c>
      <c r="AW126" s="180"/>
      <c r="AX126" s="135"/>
      <c r="AY126" s="135"/>
      <c r="AZ126" s="135"/>
      <c r="BA126" s="135"/>
      <c r="BB126" s="135"/>
      <c r="BC126" s="135"/>
      <c r="BD126" s="135"/>
      <c r="BE126" s="135"/>
      <c r="BF126" s="135"/>
      <c r="BG126" s="135"/>
      <c r="BH126" s="135"/>
      <c r="BI126" s="135"/>
      <c r="BJ126" s="135"/>
      <c r="BK126" s="135"/>
      <c r="BL126" s="135"/>
    </row>
    <row r="127" spans="1:64">
      <c r="A127" s="135"/>
      <c r="B127" s="135"/>
      <c r="C127" s="135"/>
      <c r="D127" s="135"/>
      <c r="E127" s="198">
        <v>1</v>
      </c>
      <c r="F127" s="199">
        <f>E127-1</f>
        <v>0</v>
      </c>
      <c r="G127" s="199">
        <f>(2*E127-2)</f>
        <v>0</v>
      </c>
      <c r="H127" s="201">
        <f>((FACT(G127)/(FACT(E127)*FACT(F127)*2^(2*E127-1)))^2)*C$32^(E127)</f>
        <v>2.7777777777777776E-2</v>
      </c>
      <c r="I127" s="201"/>
      <c r="J127" s="237">
        <f>SUM(H$126:H127)</f>
        <v>1.0277777777777777</v>
      </c>
      <c r="K127" s="177"/>
      <c r="L127" s="175">
        <f>PI()*($C$13+$C$18)*J127</f>
        <v>48.432886742842634</v>
      </c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  <c r="AB127" s="135"/>
      <c r="AC127" s="135"/>
      <c r="AD127" s="151"/>
      <c r="AE127" s="151"/>
      <c r="AF127" s="234"/>
      <c r="AG127" s="234"/>
      <c r="AH127" s="144"/>
      <c r="AI127" s="144"/>
      <c r="AJ127" s="148">
        <v>3</v>
      </c>
      <c r="AK127" s="151">
        <f t="shared" si="47"/>
        <v>6</v>
      </c>
      <c r="AL127" s="151">
        <f t="shared" si="48"/>
        <v>2</v>
      </c>
      <c r="AM127" s="151">
        <f t="shared" si="43"/>
        <v>4</v>
      </c>
      <c r="AN127" s="194">
        <f t="shared" si="44"/>
        <v>3.90625E-3</v>
      </c>
      <c r="AO127" s="185">
        <f t="shared" si="45"/>
        <v>1.3717421124828531E-3</v>
      </c>
      <c r="AP127" s="185">
        <f t="shared" si="49"/>
        <v>5.358367626886145E-6</v>
      </c>
      <c r="AQ127" s="186">
        <f>SUM(AP$124:AP127)</f>
        <v>1.0279760373799725</v>
      </c>
      <c r="AR127" s="184">
        <f t="shared" si="42"/>
        <v>48.442229506489014</v>
      </c>
      <c r="AS127" s="151"/>
      <c r="AT127" s="187">
        <v>1</v>
      </c>
      <c r="AU127" s="187">
        <v>256</v>
      </c>
      <c r="AV127" s="151">
        <f t="shared" si="46"/>
        <v>3.90625E-3</v>
      </c>
      <c r="AW127" s="180"/>
      <c r="AX127" s="135"/>
      <c r="AY127" s="135"/>
      <c r="AZ127" s="135"/>
      <c r="BA127" s="135"/>
      <c r="BB127" s="135"/>
      <c r="BC127" s="135"/>
      <c r="BD127" s="135"/>
      <c r="BE127" s="135"/>
      <c r="BF127" s="135"/>
      <c r="BG127" s="135"/>
      <c r="BH127" s="135"/>
      <c r="BI127" s="135"/>
      <c r="BJ127" s="135"/>
      <c r="BK127" s="135"/>
      <c r="BL127" s="135"/>
    </row>
    <row r="128" spans="1:64">
      <c r="A128" s="135"/>
      <c r="B128" s="135"/>
      <c r="C128" s="135"/>
      <c r="D128" s="135"/>
      <c r="E128" s="198">
        <v>2</v>
      </c>
      <c r="F128" s="199">
        <f t="shared" ref="F128:F191" si="50">E128-1</f>
        <v>1</v>
      </c>
      <c r="G128" s="199">
        <f t="shared" ref="G128:G191" si="51">(2*E128-2)</f>
        <v>2</v>
      </c>
      <c r="H128" s="201">
        <f t="shared" ref="H128:H191" si="52">((FACT(G128)/(FACT(E128)*FACT(F128)*2^(2*E128-1)))^2)*C$32^(E128)</f>
        <v>1.9290123456790122E-4</v>
      </c>
      <c r="I128" s="201"/>
      <c r="J128" s="237">
        <f>SUM(H$126:H128)</f>
        <v>1.0279706790123455</v>
      </c>
      <c r="K128" s="177"/>
      <c r="L128" s="175">
        <f t="shared" ref="L128:L191" si="53">PI()*($C$13+$C$18)*J128</f>
        <v>48.441976999363433</v>
      </c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51"/>
      <c r="AE128" s="151"/>
      <c r="AF128" s="234"/>
      <c r="AG128" s="234"/>
      <c r="AH128" s="144"/>
      <c r="AI128" s="144"/>
      <c r="AJ128" s="148">
        <v>4</v>
      </c>
      <c r="AK128" s="151">
        <f t="shared" si="47"/>
        <v>24</v>
      </c>
      <c r="AL128" s="151">
        <f t="shared" si="48"/>
        <v>3</v>
      </c>
      <c r="AM128" s="151">
        <f t="shared" si="43"/>
        <v>6</v>
      </c>
      <c r="AN128" s="195">
        <f t="shared" si="44"/>
        <v>1.52587890625E-3</v>
      </c>
      <c r="AO128" s="185">
        <f t="shared" si="45"/>
        <v>1.5241579027587256E-4</v>
      </c>
      <c r="AP128" s="185">
        <f t="shared" si="49"/>
        <v>2.325680393613778E-7</v>
      </c>
      <c r="AQ128" s="186">
        <f>SUM(AP$124:AP128)</f>
        <v>1.0279762699480117</v>
      </c>
      <c r="AR128" s="184">
        <f t="shared" si="42"/>
        <v>48.442240465999674</v>
      </c>
      <c r="AS128" s="151"/>
      <c r="AT128" s="187">
        <v>25</v>
      </c>
      <c r="AU128" s="187">
        <v>16384</v>
      </c>
      <c r="AV128" s="151">
        <f t="shared" si="46"/>
        <v>1.52587890625E-3</v>
      </c>
      <c r="AW128" s="180"/>
      <c r="AX128" s="135"/>
      <c r="AY128" s="135"/>
      <c r="AZ128" s="135"/>
      <c r="BA128" s="135"/>
      <c r="BB128" s="135"/>
      <c r="BC128" s="135"/>
      <c r="BD128" s="135"/>
      <c r="BE128" s="135"/>
      <c r="BF128" s="135"/>
      <c r="BG128" s="135"/>
      <c r="BH128" s="135"/>
      <c r="BI128" s="135"/>
      <c r="BJ128" s="135"/>
      <c r="BK128" s="135"/>
      <c r="BL128" s="135"/>
    </row>
    <row r="129" spans="1:64">
      <c r="A129" s="135"/>
      <c r="B129" s="135"/>
      <c r="C129" s="135"/>
      <c r="D129" s="135"/>
      <c r="E129" s="198">
        <v>3</v>
      </c>
      <c r="F129" s="199">
        <f t="shared" si="50"/>
        <v>2</v>
      </c>
      <c r="G129" s="199">
        <f t="shared" si="51"/>
        <v>4</v>
      </c>
      <c r="H129" s="201">
        <f t="shared" si="52"/>
        <v>5.358367626886145E-6</v>
      </c>
      <c r="I129" s="201"/>
      <c r="J129" s="237">
        <f>SUM(H$126:H129)</f>
        <v>1.0279760373799725</v>
      </c>
      <c r="K129" s="177"/>
      <c r="L129" s="175">
        <f t="shared" si="53"/>
        <v>48.442229506489014</v>
      </c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151"/>
      <c r="AE129" s="151"/>
      <c r="AF129" s="234"/>
      <c r="AG129" s="234"/>
      <c r="AH129" s="144"/>
      <c r="AI129" s="144"/>
      <c r="AJ129" s="148">
        <v>5</v>
      </c>
      <c r="AK129" s="151">
        <f t="shared" si="47"/>
        <v>120</v>
      </c>
      <c r="AL129" s="151">
        <f t="shared" si="48"/>
        <v>4</v>
      </c>
      <c r="AM129" s="151">
        <f t="shared" si="43"/>
        <v>8</v>
      </c>
      <c r="AN129" s="195">
        <f t="shared" si="44"/>
        <v>7.476806640625E-4</v>
      </c>
      <c r="AO129" s="185">
        <f t="shared" si="45"/>
        <v>1.6935087808430282E-5</v>
      </c>
      <c r="AP129" s="185">
        <f t="shared" si="49"/>
        <v>1.2662037698563902E-8</v>
      </c>
      <c r="AQ129" s="186">
        <f>SUM(AP$124:AP129)</f>
        <v>1.0279762826100494</v>
      </c>
      <c r="AR129" s="184">
        <f t="shared" si="42"/>
        <v>48.44224106268414</v>
      </c>
      <c r="AS129" s="151"/>
      <c r="AT129" s="187">
        <v>49</v>
      </c>
      <c r="AU129" s="187">
        <v>65536</v>
      </c>
      <c r="AV129" s="189">
        <f t="shared" si="46"/>
        <v>7.476806640625E-4</v>
      </c>
      <c r="AW129" s="180"/>
      <c r="AX129" s="135"/>
      <c r="AY129" s="135"/>
      <c r="AZ129" s="135"/>
      <c r="BA129" s="135"/>
      <c r="BB129" s="135"/>
      <c r="BC129" s="135"/>
      <c r="BD129" s="135"/>
      <c r="BE129" s="135"/>
      <c r="BF129" s="135"/>
      <c r="BG129" s="135"/>
      <c r="BH129" s="135"/>
      <c r="BI129" s="135"/>
      <c r="BJ129" s="135"/>
      <c r="BK129" s="135"/>
      <c r="BL129" s="135"/>
    </row>
    <row r="130" spans="1:64">
      <c r="A130" s="135"/>
      <c r="B130" s="135"/>
      <c r="C130" s="135"/>
      <c r="D130" s="135"/>
      <c r="E130" s="198">
        <v>4</v>
      </c>
      <c r="F130" s="199">
        <f t="shared" si="50"/>
        <v>3</v>
      </c>
      <c r="G130" s="199">
        <f t="shared" si="51"/>
        <v>6</v>
      </c>
      <c r="H130" s="201">
        <f t="shared" si="52"/>
        <v>2.325680393613778E-7</v>
      </c>
      <c r="I130" s="201"/>
      <c r="J130" s="237">
        <f>SUM(H$126:H130)</f>
        <v>1.0279762699480117</v>
      </c>
      <c r="K130" s="177"/>
      <c r="L130" s="175">
        <f t="shared" si="53"/>
        <v>48.442240465999674</v>
      </c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51"/>
      <c r="AE130" s="151"/>
      <c r="AF130" s="234"/>
      <c r="AG130" s="234"/>
      <c r="AH130" s="144"/>
      <c r="AI130" s="144"/>
      <c r="AJ130" s="148">
        <v>6</v>
      </c>
      <c r="AK130" s="151">
        <f t="shared" si="47"/>
        <v>720</v>
      </c>
      <c r="AL130" s="151">
        <f t="shared" si="48"/>
        <v>5</v>
      </c>
      <c r="AM130" s="151">
        <f t="shared" si="43"/>
        <v>10</v>
      </c>
      <c r="AN130" s="195">
        <f t="shared" si="44"/>
        <v>4.2057037353515625E-4</v>
      </c>
      <c r="AO130" s="185">
        <f t="shared" si="45"/>
        <v>1.8816764231589204E-6</v>
      </c>
      <c r="AP130" s="185">
        <f t="shared" si="49"/>
        <v>7.9137735616024387E-10</v>
      </c>
      <c r="AQ130" s="186">
        <f>SUM(AP$124:AP130)</f>
        <v>1.0279762834014268</v>
      </c>
      <c r="AR130" s="184">
        <f t="shared" si="42"/>
        <v>48.442241099976918</v>
      </c>
      <c r="AS130" s="151"/>
      <c r="AT130" s="187">
        <v>441</v>
      </c>
      <c r="AU130" s="187">
        <v>1048576</v>
      </c>
      <c r="AV130" s="189">
        <f t="shared" si="46"/>
        <v>4.2057037353515625E-4</v>
      </c>
      <c r="AW130" s="180"/>
      <c r="AX130" s="135"/>
      <c r="AY130" s="135"/>
      <c r="AZ130" s="135"/>
      <c r="BA130" s="135"/>
      <c r="BB130" s="135"/>
      <c r="BC130" s="135"/>
      <c r="BD130" s="135"/>
      <c r="BE130" s="135"/>
      <c r="BF130" s="135"/>
      <c r="BG130" s="135"/>
      <c r="BH130" s="135"/>
      <c r="BI130" s="135"/>
      <c r="BJ130" s="135"/>
      <c r="BK130" s="135"/>
      <c r="BL130" s="135"/>
    </row>
    <row r="131" spans="1:64">
      <c r="A131" s="135"/>
      <c r="B131" s="135"/>
      <c r="C131" s="135"/>
      <c r="D131" s="135"/>
      <c r="E131" s="198">
        <v>5</v>
      </c>
      <c r="F131" s="199">
        <f t="shared" si="50"/>
        <v>4</v>
      </c>
      <c r="G131" s="199">
        <f t="shared" si="51"/>
        <v>8</v>
      </c>
      <c r="H131" s="201">
        <f t="shared" si="52"/>
        <v>1.2662037698563902E-8</v>
      </c>
      <c r="I131" s="201"/>
      <c r="J131" s="237">
        <f>SUM(H$126:H131)</f>
        <v>1.0279762826100494</v>
      </c>
      <c r="K131" s="177"/>
      <c r="L131" s="175">
        <f t="shared" si="53"/>
        <v>48.44224106268414</v>
      </c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  <c r="AB131" s="135"/>
      <c r="AC131" s="135"/>
      <c r="AD131" s="151"/>
      <c r="AE131" s="151"/>
      <c r="AF131" s="234"/>
      <c r="AG131" s="234"/>
      <c r="AH131" s="144"/>
      <c r="AI131" s="144"/>
      <c r="AJ131" s="148">
        <v>7</v>
      </c>
      <c r="AK131" s="187">
        <f t="shared" si="47"/>
        <v>5040</v>
      </c>
      <c r="AL131" s="151">
        <f t="shared" si="48"/>
        <v>6</v>
      </c>
      <c r="AM131" s="151">
        <f t="shared" si="43"/>
        <v>12</v>
      </c>
      <c r="AN131" s="195">
        <f t="shared" si="44"/>
        <v>2.5963783264160156E-4</v>
      </c>
      <c r="AO131" s="185">
        <f t="shared" si="45"/>
        <v>2.0907515812876892E-7</v>
      </c>
      <c r="AP131" s="185">
        <f t="shared" si="49"/>
        <v>5.4283820915753685E-11</v>
      </c>
      <c r="AQ131" s="186">
        <f>SUM(AP$124:AP131)</f>
        <v>1.0279762834557107</v>
      </c>
      <c r="AR131" s="184">
        <f t="shared" si="42"/>
        <v>48.442241102534986</v>
      </c>
      <c r="AS131" s="151"/>
      <c r="AT131" s="187">
        <v>1089</v>
      </c>
      <c r="AU131" s="187">
        <v>4194304</v>
      </c>
      <c r="AV131" s="189">
        <f t="shared" si="46"/>
        <v>2.5963783264160156E-4</v>
      </c>
      <c r="AW131" s="180"/>
      <c r="AX131" s="135"/>
      <c r="AY131" s="135"/>
      <c r="AZ131" s="135"/>
      <c r="BA131" s="135"/>
      <c r="BB131" s="135"/>
      <c r="BC131" s="135"/>
      <c r="BD131" s="135"/>
      <c r="BE131" s="135"/>
      <c r="BF131" s="135"/>
      <c r="BG131" s="135"/>
      <c r="BH131" s="135"/>
      <c r="BI131" s="135"/>
      <c r="BJ131" s="135"/>
      <c r="BK131" s="135"/>
      <c r="BL131" s="135"/>
    </row>
    <row r="132" spans="1:64">
      <c r="A132" s="135"/>
      <c r="B132" s="135"/>
      <c r="C132" s="135"/>
      <c r="D132" s="135"/>
      <c r="E132" s="198">
        <v>6</v>
      </c>
      <c r="F132" s="199">
        <f t="shared" si="50"/>
        <v>5</v>
      </c>
      <c r="G132" s="199">
        <f t="shared" si="51"/>
        <v>10</v>
      </c>
      <c r="H132" s="201">
        <f t="shared" si="52"/>
        <v>7.9137735616024387E-10</v>
      </c>
      <c r="I132" s="201"/>
      <c r="J132" s="237">
        <f>SUM(H$126:H132)</f>
        <v>1.0279762834014268</v>
      </c>
      <c r="K132" s="177"/>
      <c r="L132" s="175">
        <f t="shared" si="53"/>
        <v>48.442241099976918</v>
      </c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  <c r="AB132" s="135"/>
      <c r="AC132" s="135"/>
      <c r="AD132" s="151"/>
      <c r="AE132" s="151"/>
      <c r="AF132" s="234"/>
      <c r="AG132" s="234"/>
      <c r="AH132" s="144"/>
      <c r="AI132" s="144"/>
      <c r="AJ132" s="148">
        <v>8</v>
      </c>
      <c r="AK132" s="187">
        <f t="shared" si="47"/>
        <v>40320</v>
      </c>
      <c r="AL132" s="151">
        <f t="shared" si="48"/>
        <v>7</v>
      </c>
      <c r="AM132" s="151">
        <f t="shared" si="43"/>
        <v>14</v>
      </c>
      <c r="AN132" s="195">
        <f t="shared" si="44"/>
        <v>1.7140153795480728E-4</v>
      </c>
      <c r="AO132" s="185">
        <f t="shared" si="45"/>
        <v>2.3230573125418767E-8</v>
      </c>
      <c r="AP132" s="185">
        <f t="shared" si="49"/>
        <v>3.981755961268391E-12</v>
      </c>
      <c r="AQ132" s="186">
        <f>SUM(AP$124:AP132)</f>
        <v>1.0279762834596924</v>
      </c>
      <c r="AR132" s="184">
        <f t="shared" si="42"/>
        <v>48.442241102722619</v>
      </c>
      <c r="AS132" s="151"/>
      <c r="AT132" s="187">
        <v>184041</v>
      </c>
      <c r="AU132" s="187">
        <v>1073741824</v>
      </c>
      <c r="AV132" s="189">
        <f>AT132/AU132</f>
        <v>1.7140153795480728E-4</v>
      </c>
      <c r="AW132" s="180"/>
      <c r="AX132" s="135"/>
      <c r="AY132" s="135"/>
      <c r="AZ132" s="135"/>
      <c r="BA132" s="135"/>
      <c r="BB132" s="135"/>
      <c r="BC132" s="135"/>
      <c r="BD132" s="135"/>
      <c r="BE132" s="135"/>
      <c r="BF132" s="135"/>
      <c r="BG132" s="135"/>
      <c r="BH132" s="135"/>
      <c r="BI132" s="135"/>
      <c r="BJ132" s="135"/>
      <c r="BK132" s="135"/>
      <c r="BL132" s="135"/>
    </row>
    <row r="133" spans="1:64">
      <c r="A133" s="135"/>
      <c r="B133" s="135"/>
      <c r="C133" s="135"/>
      <c r="D133" s="135"/>
      <c r="E133" s="198">
        <v>7</v>
      </c>
      <c r="F133" s="199">
        <f t="shared" si="50"/>
        <v>6</v>
      </c>
      <c r="G133" s="199">
        <f t="shared" si="51"/>
        <v>12</v>
      </c>
      <c r="H133" s="201">
        <f t="shared" si="52"/>
        <v>5.4283820915753685E-11</v>
      </c>
      <c r="I133" s="201"/>
      <c r="J133" s="237">
        <f>SUM(H$126:H133)</f>
        <v>1.0279762834557107</v>
      </c>
      <c r="K133" s="177"/>
      <c r="L133" s="175">
        <f t="shared" si="53"/>
        <v>48.442241102534986</v>
      </c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5"/>
      <c r="AD133" s="151"/>
      <c r="AE133" s="151"/>
      <c r="AF133" s="234"/>
      <c r="AG133" s="234"/>
      <c r="AH133" s="144"/>
      <c r="AI133" s="144"/>
      <c r="AJ133" s="148">
        <v>9</v>
      </c>
      <c r="AK133" s="187">
        <f t="shared" si="47"/>
        <v>362880</v>
      </c>
      <c r="AL133" s="151">
        <f t="shared" si="48"/>
        <v>8</v>
      </c>
      <c r="AM133" s="151">
        <f t="shared" si="43"/>
        <v>16</v>
      </c>
      <c r="AN133" s="195">
        <f t="shared" si="44"/>
        <v>1.190288458019495E-4</v>
      </c>
      <c r="AO133" s="185">
        <f t="shared" si="45"/>
        <v>2.5811747917131962E-9</v>
      </c>
      <c r="AP133" s="185">
        <f t="shared" si="49"/>
        <v>3.0723425627070918E-13</v>
      </c>
      <c r="AQ133" s="186">
        <f>SUM(AP$124:AP133)</f>
        <v>1.0279762834599997</v>
      </c>
      <c r="AR133" s="184">
        <f t="shared" si="42"/>
        <v>48.4422411027371</v>
      </c>
      <c r="AS133" s="151"/>
      <c r="AT133" s="151"/>
      <c r="AU133" s="144"/>
      <c r="AV133" s="144"/>
      <c r="AW133" s="180"/>
      <c r="AX133" s="135"/>
      <c r="AY133" s="135"/>
      <c r="AZ133" s="135"/>
      <c r="BA133" s="135"/>
      <c r="BB133" s="135"/>
      <c r="BC133" s="135"/>
      <c r="BD133" s="135"/>
      <c r="BE133" s="135"/>
      <c r="BF133" s="135"/>
      <c r="BG133" s="135"/>
      <c r="BH133" s="135"/>
      <c r="BI133" s="135"/>
      <c r="BJ133" s="135"/>
      <c r="BK133" s="135"/>
      <c r="BL133" s="135"/>
    </row>
    <row r="134" spans="1:64">
      <c r="A134" s="135"/>
      <c r="B134" s="135"/>
      <c r="C134" s="135"/>
      <c r="D134" s="135"/>
      <c r="E134" s="198">
        <v>8</v>
      </c>
      <c r="F134" s="199">
        <f t="shared" si="50"/>
        <v>7</v>
      </c>
      <c r="G134" s="199">
        <f t="shared" si="51"/>
        <v>14</v>
      </c>
      <c r="H134" s="201">
        <f t="shared" si="52"/>
        <v>3.981755961268391E-12</v>
      </c>
      <c r="I134" s="201"/>
      <c r="J134" s="237">
        <f>SUM(H$126:H134)</f>
        <v>1.0279762834596924</v>
      </c>
      <c r="K134" s="177"/>
      <c r="L134" s="175">
        <f t="shared" si="53"/>
        <v>48.442241102722619</v>
      </c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51"/>
      <c r="AE134" s="151"/>
      <c r="AF134" s="234"/>
      <c r="AG134" s="234"/>
      <c r="AH134" s="144"/>
      <c r="AI134" s="144"/>
      <c r="AJ134" s="148">
        <v>10</v>
      </c>
      <c r="AK134" s="187">
        <f t="shared" si="47"/>
        <v>3628800</v>
      </c>
      <c r="AL134" s="151">
        <f t="shared" si="48"/>
        <v>9</v>
      </c>
      <c r="AM134" s="151">
        <f t="shared" si="43"/>
        <v>18</v>
      </c>
      <c r="AN134" s="195">
        <f t="shared" si="44"/>
        <v>8.5998341091908514E-5</v>
      </c>
      <c r="AO134" s="185">
        <f t="shared" si="45"/>
        <v>2.8679719907924403E-10</v>
      </c>
      <c r="AP134" s="185">
        <f>AN134*AO134</f>
        <v>2.4664083350620819E-14</v>
      </c>
      <c r="AQ134" s="186">
        <f>SUM(AP$124:AP134)</f>
        <v>1.0279762834600243</v>
      </c>
      <c r="AR134" s="184">
        <f t="shared" si="42"/>
        <v>48.442241102738265</v>
      </c>
      <c r="AS134" s="151"/>
      <c r="AT134" s="151"/>
      <c r="AU134" s="144"/>
      <c r="AV134" s="144"/>
      <c r="AW134" s="180"/>
      <c r="AX134" s="135"/>
      <c r="AY134" s="135"/>
      <c r="AZ134" s="135"/>
      <c r="BA134" s="135"/>
      <c r="BB134" s="135"/>
      <c r="BC134" s="135"/>
      <c r="BD134" s="135"/>
      <c r="BE134" s="135"/>
      <c r="BF134" s="135"/>
      <c r="BG134" s="135"/>
      <c r="BH134" s="135"/>
      <c r="BI134" s="135"/>
      <c r="BJ134" s="135"/>
      <c r="BK134" s="135"/>
      <c r="BL134" s="135"/>
    </row>
    <row r="135" spans="1:64">
      <c r="A135" s="135"/>
      <c r="B135" s="135"/>
      <c r="C135" s="135"/>
      <c r="D135" s="135"/>
      <c r="E135" s="198">
        <v>9</v>
      </c>
      <c r="F135" s="199">
        <f t="shared" si="50"/>
        <v>8</v>
      </c>
      <c r="G135" s="199">
        <f t="shared" si="51"/>
        <v>16</v>
      </c>
      <c r="H135" s="201">
        <f t="shared" si="52"/>
        <v>3.0723425627070918E-13</v>
      </c>
      <c r="I135" s="201"/>
      <c r="J135" s="237">
        <f>SUM(H$126:H135)</f>
        <v>1.0279762834599997</v>
      </c>
      <c r="K135" s="177"/>
      <c r="L135" s="175">
        <f t="shared" si="53"/>
        <v>48.4422411027371</v>
      </c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51"/>
      <c r="AE135" s="151"/>
      <c r="AF135" s="234"/>
      <c r="AG135" s="234"/>
      <c r="AH135" s="144"/>
      <c r="AI135" s="144"/>
      <c r="AJ135" s="148">
        <v>11</v>
      </c>
      <c r="AK135" s="187">
        <f t="shared" si="47"/>
        <v>39916800</v>
      </c>
      <c r="AL135" s="151">
        <f t="shared" si="48"/>
        <v>10</v>
      </c>
      <c r="AM135" s="151">
        <f t="shared" si="43"/>
        <v>20</v>
      </c>
      <c r="AN135" s="151"/>
      <c r="AO135" s="189"/>
      <c r="AP135" s="151"/>
      <c r="AQ135" s="151"/>
      <c r="AR135" s="151"/>
      <c r="AS135" s="151"/>
      <c r="AT135" s="151"/>
      <c r="AU135" s="144"/>
      <c r="AV135" s="144"/>
      <c r="AW135" s="180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  <c r="BI135" s="135"/>
      <c r="BJ135" s="135"/>
      <c r="BK135" s="135"/>
      <c r="BL135" s="135"/>
    </row>
    <row r="136" spans="1:64">
      <c r="A136" s="135"/>
      <c r="B136" s="135"/>
      <c r="C136" s="135"/>
      <c r="D136" s="135"/>
      <c r="E136" s="198">
        <v>10</v>
      </c>
      <c r="F136" s="199">
        <f t="shared" si="50"/>
        <v>9</v>
      </c>
      <c r="G136" s="199">
        <f t="shared" si="51"/>
        <v>18</v>
      </c>
      <c r="H136" s="201">
        <f t="shared" si="52"/>
        <v>2.4664083350620819E-14</v>
      </c>
      <c r="I136" s="201"/>
      <c r="J136" s="237">
        <f>SUM(H$126:H136)</f>
        <v>1.0279762834600243</v>
      </c>
      <c r="K136" s="177"/>
      <c r="L136" s="175">
        <f t="shared" si="53"/>
        <v>48.442241102738265</v>
      </c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51"/>
      <c r="AE136" s="151"/>
      <c r="AF136" s="234"/>
      <c r="AG136" s="234"/>
      <c r="AH136" s="144"/>
      <c r="AI136" s="144"/>
      <c r="AJ136" s="148">
        <v>12</v>
      </c>
      <c r="AK136" s="187">
        <f t="shared" si="47"/>
        <v>479001600</v>
      </c>
      <c r="AL136" s="151">
        <f t="shared" si="48"/>
        <v>11</v>
      </c>
      <c r="AM136" s="151">
        <f t="shared" si="43"/>
        <v>22</v>
      </c>
      <c r="AN136" s="151"/>
      <c r="AO136" s="190" t="s">
        <v>7</v>
      </c>
      <c r="AP136" s="151">
        <f>SUM(AP124:AP134)</f>
        <v>1.0279762834600243</v>
      </c>
      <c r="AQ136" s="191" t="s">
        <v>61</v>
      </c>
      <c r="AR136" s="192">
        <f>PI()*($C$13+$C$18)*AP136</f>
        <v>48.442241102738265</v>
      </c>
      <c r="AS136" s="151"/>
      <c r="AT136" s="151"/>
      <c r="AU136" s="144"/>
      <c r="AV136" s="144"/>
      <c r="AW136" s="180"/>
      <c r="AX136" s="135"/>
      <c r="AY136" s="135"/>
      <c r="AZ136" s="135"/>
      <c r="BA136" s="135"/>
      <c r="BB136" s="135"/>
      <c r="BC136" s="135"/>
      <c r="BD136" s="135"/>
      <c r="BE136" s="135"/>
      <c r="BF136" s="135"/>
      <c r="BG136" s="135"/>
      <c r="BH136" s="135"/>
      <c r="BI136" s="135"/>
      <c r="BJ136" s="135"/>
      <c r="BK136" s="135"/>
      <c r="BL136" s="135"/>
    </row>
    <row r="137" spans="1:64">
      <c r="A137" s="135"/>
      <c r="B137" s="135"/>
      <c r="C137" s="135"/>
      <c r="D137" s="135"/>
      <c r="E137" s="198">
        <v>11</v>
      </c>
      <c r="F137" s="199">
        <f t="shared" si="50"/>
        <v>10</v>
      </c>
      <c r="G137" s="199">
        <f t="shared" si="51"/>
        <v>20</v>
      </c>
      <c r="H137" s="201">
        <f t="shared" si="52"/>
        <v>2.0440160903521845E-15</v>
      </c>
      <c r="I137" s="201"/>
      <c r="J137" s="237">
        <f>SUM(H$126:H137)</f>
        <v>1.0279762834600263</v>
      </c>
      <c r="K137" s="177"/>
      <c r="L137" s="175">
        <f t="shared" si="53"/>
        <v>48.442241102738357</v>
      </c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51"/>
      <c r="AE137" s="151"/>
      <c r="AF137" s="234"/>
      <c r="AG137" s="234"/>
      <c r="AH137" s="144"/>
      <c r="AI137" s="144"/>
      <c r="AJ137" s="148">
        <v>13</v>
      </c>
      <c r="AK137" s="187">
        <f t="shared" si="47"/>
        <v>6227020800</v>
      </c>
      <c r="AL137" s="151">
        <f t="shared" si="48"/>
        <v>12</v>
      </c>
      <c r="AM137" s="151">
        <f t="shared" si="43"/>
        <v>24</v>
      </c>
      <c r="AN137" s="151"/>
      <c r="AO137" s="151"/>
      <c r="AP137" s="151"/>
      <c r="AQ137" s="151"/>
      <c r="AR137" s="151"/>
      <c r="AS137" s="151"/>
      <c r="AT137" s="151"/>
      <c r="AU137" s="144"/>
      <c r="AV137" s="144"/>
      <c r="AW137" s="180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</row>
    <row r="138" spans="1:64">
      <c r="A138" s="135"/>
      <c r="B138" s="135"/>
      <c r="C138" s="135"/>
      <c r="D138" s="135"/>
      <c r="E138" s="198">
        <v>12</v>
      </c>
      <c r="F138" s="199">
        <f t="shared" si="50"/>
        <v>11</v>
      </c>
      <c r="G138" s="199">
        <f t="shared" si="51"/>
        <v>22</v>
      </c>
      <c r="H138" s="201">
        <f t="shared" si="52"/>
        <v>1.7388331324176566E-16</v>
      </c>
      <c r="I138" s="201"/>
      <c r="J138" s="237">
        <f>SUM(H$126:H138)</f>
        <v>1.0279762834600266</v>
      </c>
      <c r="K138" s="177"/>
      <c r="L138" s="175">
        <f t="shared" si="53"/>
        <v>48.442241102738372</v>
      </c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51"/>
      <c r="AE138" s="151"/>
      <c r="AF138" s="234"/>
      <c r="AG138" s="234"/>
      <c r="AH138" s="144"/>
      <c r="AI138" s="144"/>
      <c r="AJ138" s="148">
        <v>14</v>
      </c>
      <c r="AK138" s="187">
        <f t="shared" si="47"/>
        <v>87178291200</v>
      </c>
      <c r="AL138" s="151">
        <f t="shared" si="48"/>
        <v>13</v>
      </c>
      <c r="AM138" s="151">
        <f t="shared" si="43"/>
        <v>26</v>
      </c>
      <c r="AN138" s="144"/>
      <c r="AO138" s="144"/>
      <c r="AP138" s="144"/>
      <c r="AQ138" s="144"/>
      <c r="AR138" s="144"/>
      <c r="AS138" s="144"/>
      <c r="AT138" s="144"/>
      <c r="AU138" s="144"/>
      <c r="AV138" s="144"/>
      <c r="AW138" s="180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</row>
    <row r="139" spans="1:64">
      <c r="A139" s="135"/>
      <c r="B139" s="135"/>
      <c r="C139" s="135"/>
      <c r="D139" s="135"/>
      <c r="E139" s="198">
        <v>13</v>
      </c>
      <c r="F139" s="199">
        <f t="shared" si="50"/>
        <v>12</v>
      </c>
      <c r="G139" s="199">
        <f t="shared" si="51"/>
        <v>24</v>
      </c>
      <c r="H139" s="201">
        <f t="shared" si="52"/>
        <v>1.5119045480751812E-17</v>
      </c>
      <c r="I139" s="201"/>
      <c r="J139" s="237">
        <f>SUM(H$126:H139)</f>
        <v>1.0279762834600266</v>
      </c>
      <c r="K139" s="177"/>
      <c r="L139" s="175">
        <f t="shared" si="53"/>
        <v>48.442241102738372</v>
      </c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51"/>
      <c r="AE139" s="151"/>
      <c r="AF139" s="234"/>
      <c r="AG139" s="234"/>
      <c r="AH139" s="144"/>
      <c r="AI139" s="144"/>
      <c r="AJ139" s="148">
        <v>15</v>
      </c>
      <c r="AK139" s="187">
        <f t="shared" si="47"/>
        <v>1307674368000</v>
      </c>
      <c r="AL139" s="151">
        <f t="shared" si="48"/>
        <v>14</v>
      </c>
      <c r="AM139" s="151">
        <f t="shared" si="43"/>
        <v>28</v>
      </c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80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</row>
    <row r="140" spans="1:64">
      <c r="A140" s="135"/>
      <c r="B140" s="135"/>
      <c r="C140" s="135"/>
      <c r="D140" s="135"/>
      <c r="E140" s="198">
        <v>14</v>
      </c>
      <c r="F140" s="199">
        <f t="shared" si="50"/>
        <v>13</v>
      </c>
      <c r="G140" s="199">
        <f t="shared" si="51"/>
        <v>26</v>
      </c>
      <c r="H140" s="201">
        <f t="shared" si="52"/>
        <v>1.339201165741197E-18</v>
      </c>
      <c r="I140" s="201"/>
      <c r="J140" s="237">
        <f>SUM(H$126:H140)</f>
        <v>1.0279762834600266</v>
      </c>
      <c r="K140" s="177"/>
      <c r="L140" s="175">
        <f t="shared" si="53"/>
        <v>48.442241102738372</v>
      </c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44"/>
      <c r="AE140" s="144"/>
      <c r="AF140" s="172"/>
      <c r="AG140" s="172"/>
      <c r="AH140" s="144"/>
      <c r="AI140" s="144"/>
      <c r="AJ140" s="148">
        <v>16</v>
      </c>
      <c r="AK140" s="187">
        <f t="shared" si="47"/>
        <v>20922789888000</v>
      </c>
      <c r="AL140" s="151">
        <f t="shared" si="48"/>
        <v>15</v>
      </c>
      <c r="AM140" s="151">
        <f t="shared" si="43"/>
        <v>30</v>
      </c>
      <c r="AN140" s="148"/>
      <c r="AO140" s="182"/>
      <c r="AP140" s="148" t="s">
        <v>0</v>
      </c>
      <c r="AQ140" s="148" t="s">
        <v>2</v>
      </c>
      <c r="AR140" s="148" t="s">
        <v>3</v>
      </c>
      <c r="AS140" s="144"/>
      <c r="AT140" s="144"/>
      <c r="AU140" s="144"/>
      <c r="AV140" s="144"/>
      <c r="AW140" s="180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</row>
    <row r="141" spans="1:64">
      <c r="A141" s="135"/>
      <c r="B141" s="135"/>
      <c r="C141" s="135"/>
      <c r="D141" s="135"/>
      <c r="E141" s="198">
        <v>15</v>
      </c>
      <c r="F141" s="199">
        <f t="shared" si="50"/>
        <v>14</v>
      </c>
      <c r="G141" s="199">
        <f t="shared" si="51"/>
        <v>28</v>
      </c>
      <c r="H141" s="201">
        <f t="shared" si="52"/>
        <v>1.2052810491670765E-19</v>
      </c>
      <c r="I141" s="201"/>
      <c r="J141" s="237">
        <f>SUM(H$126:H141)</f>
        <v>1.0279762834600266</v>
      </c>
      <c r="K141" s="177"/>
      <c r="L141" s="175">
        <f t="shared" si="53"/>
        <v>48.442241102738372</v>
      </c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44"/>
      <c r="AE141" s="144"/>
      <c r="AF141" s="172"/>
      <c r="AG141" s="172"/>
      <c r="AH141" s="144"/>
      <c r="AI141" s="144"/>
      <c r="AJ141" s="148">
        <v>17</v>
      </c>
      <c r="AK141" s="187">
        <f t="shared" si="47"/>
        <v>355687428096000</v>
      </c>
      <c r="AL141" s="151">
        <f t="shared" si="48"/>
        <v>16</v>
      </c>
      <c r="AM141" s="151">
        <f t="shared" si="43"/>
        <v>32</v>
      </c>
      <c r="AN141" s="148"/>
      <c r="AO141" s="144"/>
      <c r="AP141" s="144"/>
      <c r="AQ141" s="144"/>
      <c r="AR141" s="144"/>
      <c r="AS141" s="144"/>
      <c r="AT141" s="144"/>
      <c r="AU141" s="144"/>
      <c r="AV141" s="144"/>
      <c r="AW141" s="180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</row>
    <row r="142" spans="1:64">
      <c r="A142" s="135"/>
      <c r="B142" s="135"/>
      <c r="C142" s="135"/>
      <c r="D142" s="135"/>
      <c r="E142" s="198">
        <v>16</v>
      </c>
      <c r="F142" s="199">
        <f t="shared" si="50"/>
        <v>15</v>
      </c>
      <c r="G142" s="199">
        <f t="shared" si="51"/>
        <v>30</v>
      </c>
      <c r="H142" s="201">
        <f t="shared" si="52"/>
        <v>1.0998712699104946E-20</v>
      </c>
      <c r="I142" s="201"/>
      <c r="J142" s="237">
        <f>SUM(H$126:H142)</f>
        <v>1.0279762834600266</v>
      </c>
      <c r="K142" s="177"/>
      <c r="L142" s="175">
        <f t="shared" si="53"/>
        <v>48.442241102738372</v>
      </c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44"/>
      <c r="AE142" s="144"/>
      <c r="AF142" s="172"/>
      <c r="AG142" s="172"/>
      <c r="AH142" s="144"/>
      <c r="AI142" s="144"/>
      <c r="AJ142" s="148">
        <v>18</v>
      </c>
      <c r="AK142" s="187">
        <f t="shared" si="47"/>
        <v>6402373705728000</v>
      </c>
      <c r="AL142" s="151">
        <f t="shared" si="48"/>
        <v>17</v>
      </c>
      <c r="AM142" s="151">
        <f t="shared" si="43"/>
        <v>34</v>
      </c>
      <c r="AN142" s="148"/>
      <c r="AO142" s="151"/>
      <c r="AP142" s="151">
        <f>C$13</f>
        <v>10</v>
      </c>
      <c r="AQ142" s="151">
        <f>C$18</f>
        <v>5</v>
      </c>
      <c r="AR142" s="151">
        <f>(C$13-C$18)^2/(C$13+C$18)^2</f>
        <v>0.1111111111111111</v>
      </c>
      <c r="AS142" s="144"/>
      <c r="AT142" s="144"/>
      <c r="AU142" s="144"/>
      <c r="AV142" s="144"/>
      <c r="AW142" s="180"/>
      <c r="AX142" s="135"/>
      <c r="AY142" s="135"/>
      <c r="AZ142" s="135"/>
      <c r="BA142" s="135"/>
      <c r="BB142" s="135"/>
      <c r="BC142" s="135"/>
      <c r="BD142" s="135"/>
      <c r="BE142" s="135"/>
      <c r="BF142" s="135"/>
      <c r="BG142" s="135"/>
      <c r="BH142" s="135"/>
      <c r="BI142" s="135"/>
      <c r="BJ142" s="135"/>
      <c r="BK142" s="135"/>
      <c r="BL142" s="135"/>
    </row>
    <row r="143" spans="1:64">
      <c r="A143" s="135"/>
      <c r="B143" s="135"/>
      <c r="C143" s="135"/>
      <c r="D143" s="135"/>
      <c r="E143" s="198">
        <v>17</v>
      </c>
      <c r="F143" s="199">
        <f t="shared" si="50"/>
        <v>16</v>
      </c>
      <c r="G143" s="199">
        <f t="shared" si="51"/>
        <v>32</v>
      </c>
      <c r="H143" s="201">
        <f t="shared" si="52"/>
        <v>1.0159326128258218E-21</v>
      </c>
      <c r="I143" s="201"/>
      <c r="J143" s="237">
        <f>SUM(H$126:H143)</f>
        <v>1.0279762834600266</v>
      </c>
      <c r="K143" s="177"/>
      <c r="L143" s="175">
        <f t="shared" si="53"/>
        <v>48.442241102738372</v>
      </c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44"/>
      <c r="AE143" s="144"/>
      <c r="AF143" s="172"/>
      <c r="AG143" s="172"/>
      <c r="AH143" s="144"/>
      <c r="AI143" s="144"/>
      <c r="AJ143" s="148">
        <v>19</v>
      </c>
      <c r="AK143" s="187">
        <f t="shared" si="47"/>
        <v>1.21645100408832E+17</v>
      </c>
      <c r="AL143" s="151">
        <f t="shared" si="48"/>
        <v>18</v>
      </c>
      <c r="AM143" s="151">
        <f t="shared" si="43"/>
        <v>36</v>
      </c>
      <c r="AN143" s="148"/>
      <c r="AO143" s="151"/>
      <c r="AP143" s="151"/>
      <c r="AQ143" s="151"/>
      <c r="AR143" s="151"/>
      <c r="AS143" s="151"/>
      <c r="AT143" s="151"/>
      <c r="AU143" s="144"/>
      <c r="AV143" s="144"/>
      <c r="AW143" s="180"/>
      <c r="AX143" s="135"/>
      <c r="AY143" s="135"/>
      <c r="AZ143" s="135"/>
      <c r="BA143" s="135"/>
      <c r="BB143" s="135"/>
      <c r="BC143" s="135"/>
      <c r="BD143" s="135"/>
      <c r="BE143" s="135"/>
      <c r="BF143" s="135"/>
      <c r="BG143" s="135"/>
      <c r="BH143" s="135"/>
      <c r="BI143" s="135"/>
      <c r="BJ143" s="135"/>
      <c r="BK143" s="135"/>
      <c r="BL143" s="135"/>
    </row>
    <row r="144" spans="1:64">
      <c r="A144" s="135"/>
      <c r="B144" s="135"/>
      <c r="C144" s="135"/>
      <c r="D144" s="135"/>
      <c r="E144" s="198">
        <v>18</v>
      </c>
      <c r="F144" s="199">
        <f t="shared" si="50"/>
        <v>17</v>
      </c>
      <c r="G144" s="199">
        <f t="shared" si="51"/>
        <v>34</v>
      </c>
      <c r="H144" s="201">
        <f t="shared" si="52"/>
        <v>9.4851733141916977E-23</v>
      </c>
      <c r="I144" s="201"/>
      <c r="J144" s="237">
        <f>SUM(H$126:H144)</f>
        <v>1.0279762834600266</v>
      </c>
      <c r="K144" s="177"/>
      <c r="L144" s="175">
        <f t="shared" si="53"/>
        <v>48.442241102738372</v>
      </c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44"/>
      <c r="AE144" s="144"/>
      <c r="AF144" s="172"/>
      <c r="AG144" s="172"/>
      <c r="AH144" s="144"/>
      <c r="AI144" s="144"/>
      <c r="AJ144" s="148">
        <v>20</v>
      </c>
      <c r="AK144" s="187">
        <f t="shared" si="47"/>
        <v>2.43290200817664E+18</v>
      </c>
      <c r="AL144" s="151">
        <f t="shared" si="48"/>
        <v>19</v>
      </c>
      <c r="AM144" s="151">
        <f t="shared" si="43"/>
        <v>38</v>
      </c>
      <c r="AN144" s="148"/>
      <c r="AO144" s="148"/>
      <c r="AP144" s="148" t="s">
        <v>135</v>
      </c>
      <c r="AQ144" s="148"/>
      <c r="AR144" s="151"/>
      <c r="AS144" s="151"/>
      <c r="AT144" s="151"/>
      <c r="AU144" s="144"/>
      <c r="AV144" s="144"/>
      <c r="AW144" s="180"/>
      <c r="AX144" s="135"/>
      <c r="AY144" s="135"/>
      <c r="AZ144" s="135"/>
      <c r="BA144" s="135"/>
      <c r="BB144" s="135"/>
      <c r="BC144" s="135"/>
      <c r="BD144" s="135"/>
      <c r="BE144" s="135"/>
      <c r="BF144" s="135"/>
      <c r="BG144" s="135"/>
      <c r="BH144" s="135"/>
      <c r="BI144" s="135"/>
      <c r="BJ144" s="135"/>
      <c r="BK144" s="135"/>
      <c r="BL144" s="135"/>
    </row>
    <row r="145" spans="1:64">
      <c r="A145" s="135"/>
      <c r="B145" s="135"/>
      <c r="C145" s="135"/>
      <c r="D145" s="135"/>
      <c r="E145" s="198">
        <v>19</v>
      </c>
      <c r="F145" s="199">
        <f t="shared" si="50"/>
        <v>18</v>
      </c>
      <c r="G145" s="199">
        <f t="shared" si="51"/>
        <v>36</v>
      </c>
      <c r="H145" s="201">
        <f t="shared" si="52"/>
        <v>8.9407027622998158E-24</v>
      </c>
      <c r="I145" s="201"/>
      <c r="J145" s="237">
        <f>SUM(H$126:H145)</f>
        <v>1.0279762834600266</v>
      </c>
      <c r="K145" s="177"/>
      <c r="L145" s="175">
        <f t="shared" si="53"/>
        <v>48.442241102738372</v>
      </c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  <c r="AA145" s="135"/>
      <c r="AB145" s="135"/>
      <c r="AC145" s="135"/>
      <c r="AD145" s="144"/>
      <c r="AE145" s="144"/>
      <c r="AF145" s="172"/>
      <c r="AG145" s="172"/>
      <c r="AH145" s="144"/>
      <c r="AI145" s="144"/>
      <c r="AJ145" s="148">
        <v>21</v>
      </c>
      <c r="AK145" s="187">
        <f t="shared" si="47"/>
        <v>5.109094217170944E+19</v>
      </c>
      <c r="AL145" s="151">
        <f t="shared" si="48"/>
        <v>20</v>
      </c>
      <c r="AM145" s="151">
        <f t="shared" si="43"/>
        <v>40</v>
      </c>
      <c r="AN145" s="148"/>
      <c r="AO145" s="148" t="s">
        <v>4</v>
      </c>
      <c r="AP145" s="148" t="s">
        <v>132</v>
      </c>
      <c r="AQ145" s="146" t="s">
        <v>5</v>
      </c>
      <c r="AR145" s="146" t="s">
        <v>61</v>
      </c>
      <c r="AS145" s="151"/>
      <c r="AT145" s="148" t="s">
        <v>85</v>
      </c>
      <c r="AU145" s="148" t="s">
        <v>84</v>
      </c>
      <c r="AV145" s="148" t="s">
        <v>133</v>
      </c>
      <c r="AW145" s="180"/>
      <c r="AX145" s="135"/>
      <c r="AY145" s="135"/>
      <c r="AZ145" s="135"/>
      <c r="BA145" s="135"/>
      <c r="BB145" s="135"/>
      <c r="BC145" s="135"/>
      <c r="BD145" s="135"/>
      <c r="BE145" s="135"/>
      <c r="BF145" s="135"/>
      <c r="BG145" s="135"/>
      <c r="BH145" s="135"/>
      <c r="BI145" s="135"/>
      <c r="BJ145" s="135"/>
      <c r="BK145" s="135"/>
      <c r="BL145" s="135"/>
    </row>
    <row r="146" spans="1:64">
      <c r="A146" s="135"/>
      <c r="B146" s="135"/>
      <c r="C146" s="135"/>
      <c r="D146" s="135"/>
      <c r="E146" s="198">
        <v>20</v>
      </c>
      <c r="F146" s="199">
        <f t="shared" si="50"/>
        <v>19</v>
      </c>
      <c r="G146" s="199">
        <f t="shared" si="51"/>
        <v>38</v>
      </c>
      <c r="H146" s="201">
        <f t="shared" si="52"/>
        <v>8.4998764455475246E-25</v>
      </c>
      <c r="I146" s="201"/>
      <c r="J146" s="237">
        <f>SUM(H$126:H146)</f>
        <v>1.0279762834600266</v>
      </c>
      <c r="K146" s="177"/>
      <c r="L146" s="175">
        <f t="shared" si="53"/>
        <v>48.442241102738372</v>
      </c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44"/>
      <c r="AE146" s="144"/>
      <c r="AF146" s="172"/>
      <c r="AG146" s="172"/>
      <c r="AH146" s="144"/>
      <c r="AI146" s="144"/>
      <c r="AJ146" s="148">
        <v>22</v>
      </c>
      <c r="AK146" s="187">
        <f t="shared" si="47"/>
        <v>1.1240007277776077E+21</v>
      </c>
      <c r="AL146" s="151">
        <f t="shared" si="48"/>
        <v>21</v>
      </c>
      <c r="AM146" s="151">
        <f t="shared" si="43"/>
        <v>42</v>
      </c>
      <c r="AN146" s="148"/>
      <c r="AO146" s="144"/>
      <c r="AP146" s="144"/>
      <c r="AQ146" s="144"/>
      <c r="AR146" s="144"/>
      <c r="AS146" s="151"/>
      <c r="AT146" s="144"/>
      <c r="AU146" s="144"/>
      <c r="AV146" s="144"/>
      <c r="AW146" s="180"/>
      <c r="AX146" s="135"/>
      <c r="AY146" s="135"/>
      <c r="AZ146" s="135"/>
      <c r="BA146" s="135"/>
      <c r="BB146" s="135"/>
      <c r="BC146" s="135"/>
      <c r="BD146" s="135"/>
      <c r="BE146" s="135"/>
      <c r="BF146" s="135"/>
      <c r="BG146" s="135"/>
      <c r="BH146" s="135"/>
      <c r="BI146" s="135"/>
      <c r="BJ146" s="135"/>
      <c r="BK146" s="135"/>
      <c r="BL146" s="135"/>
    </row>
    <row r="147" spans="1:64">
      <c r="A147" s="135"/>
      <c r="B147" s="135"/>
      <c r="C147" s="135"/>
      <c r="D147" s="135"/>
      <c r="E147" s="198">
        <v>21</v>
      </c>
      <c r="F147" s="199">
        <f t="shared" si="50"/>
        <v>20</v>
      </c>
      <c r="G147" s="199">
        <f t="shared" si="51"/>
        <v>40</v>
      </c>
      <c r="H147" s="201">
        <f t="shared" si="52"/>
        <v>8.1433056649519985E-26</v>
      </c>
      <c r="I147" s="201"/>
      <c r="J147" s="237">
        <f>SUM(H$126:H147)</f>
        <v>1.0279762834600266</v>
      </c>
      <c r="K147" s="177"/>
      <c r="L147" s="175">
        <f t="shared" si="53"/>
        <v>48.442241102738372</v>
      </c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44"/>
      <c r="AE147" s="144"/>
      <c r="AF147" s="172"/>
      <c r="AG147" s="172"/>
      <c r="AH147" s="144"/>
      <c r="AI147" s="144"/>
      <c r="AJ147" s="148">
        <v>23</v>
      </c>
      <c r="AK147" s="187">
        <f t="shared" si="47"/>
        <v>2.5852016738884978E+22</v>
      </c>
      <c r="AL147" s="151">
        <f t="shared" si="48"/>
        <v>22</v>
      </c>
      <c r="AM147" s="151">
        <f t="shared" si="43"/>
        <v>44</v>
      </c>
      <c r="AN147" s="148"/>
      <c r="AO147" s="148"/>
      <c r="AP147" s="151">
        <v>1</v>
      </c>
      <c r="AQ147" s="183">
        <f>SUM(AP$147:AP147)</f>
        <v>1</v>
      </c>
      <c r="AR147" s="184">
        <f t="shared" ref="AR147:AR187" si="54">PI()*($C$13+$C$18)*AQ147</f>
        <v>47.123889803846893</v>
      </c>
      <c r="AS147" s="151"/>
      <c r="AT147" s="151"/>
      <c r="AU147" s="151"/>
      <c r="AV147" s="151"/>
      <c r="AW147" s="180"/>
      <c r="AX147" s="135"/>
      <c r="AY147" s="135"/>
      <c r="AZ147" s="135"/>
      <c r="BA147" s="135"/>
      <c r="BB147" s="135"/>
      <c r="BC147" s="135"/>
      <c r="BD147" s="135"/>
      <c r="BE147" s="135"/>
      <c r="BF147" s="135"/>
      <c r="BG147" s="135"/>
      <c r="BH147" s="135"/>
      <c r="BI147" s="135"/>
      <c r="BJ147" s="135"/>
      <c r="BK147" s="135"/>
      <c r="BL147" s="135"/>
    </row>
    <row r="148" spans="1:64">
      <c r="A148" s="135"/>
      <c r="B148" s="135"/>
      <c r="C148" s="135"/>
      <c r="D148" s="135"/>
      <c r="E148" s="198">
        <v>22</v>
      </c>
      <c r="F148" s="199">
        <f t="shared" si="50"/>
        <v>21</v>
      </c>
      <c r="G148" s="199">
        <f t="shared" si="51"/>
        <v>42</v>
      </c>
      <c r="H148" s="201">
        <f t="shared" si="52"/>
        <v>7.8563457431039417E-27</v>
      </c>
      <c r="I148" s="201"/>
      <c r="J148" s="237">
        <f>SUM(H$126:H148)</f>
        <v>1.0279762834600266</v>
      </c>
      <c r="K148" s="177"/>
      <c r="L148" s="175">
        <f t="shared" si="53"/>
        <v>48.442241102738372</v>
      </c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44"/>
      <c r="AE148" s="144"/>
      <c r="AF148" s="172"/>
      <c r="AG148" s="172"/>
      <c r="AH148" s="144"/>
      <c r="AI148" s="144"/>
      <c r="AJ148" s="148">
        <v>24</v>
      </c>
      <c r="AK148" s="187">
        <f t="shared" si="47"/>
        <v>6.2044840173323941E+23</v>
      </c>
      <c r="AL148" s="151">
        <f t="shared" si="48"/>
        <v>23</v>
      </c>
      <c r="AM148" s="151">
        <f t="shared" si="43"/>
        <v>46</v>
      </c>
      <c r="AN148" s="148"/>
      <c r="AO148" s="148">
        <v>1</v>
      </c>
      <c r="AP148" s="196">
        <f>((FACT(AM125)/(FACT(AJ125)*FACT(AL125)*2^(2*AJ125-1)))^2)*AR$119^(AO148)</f>
        <v>2.7777777777777776E-2</v>
      </c>
      <c r="AQ148" s="186">
        <f>SUM(AP$147:AP148)</f>
        <v>1.0277777777777777</v>
      </c>
      <c r="AR148" s="184">
        <f t="shared" si="54"/>
        <v>48.432886742842634</v>
      </c>
      <c r="AS148" s="151"/>
      <c r="AT148" s="187">
        <v>1</v>
      </c>
      <c r="AU148" s="187">
        <v>4</v>
      </c>
      <c r="AV148" s="151">
        <f t="shared" ref="AV148:AV154" si="55">AT148/AU148</f>
        <v>0.25</v>
      </c>
      <c r="AW148" s="180"/>
      <c r="AX148" s="135"/>
      <c r="AY148" s="135"/>
      <c r="AZ148" s="135"/>
      <c r="BA148" s="135"/>
      <c r="BB148" s="135"/>
      <c r="BC148" s="135"/>
      <c r="BD148" s="135"/>
      <c r="BE148" s="135"/>
      <c r="BF148" s="135"/>
      <c r="BG148" s="135"/>
      <c r="BH148" s="135"/>
      <c r="BI148" s="135"/>
      <c r="BJ148" s="135"/>
      <c r="BK148" s="135"/>
      <c r="BL148" s="135"/>
    </row>
    <row r="149" spans="1:64">
      <c r="A149" s="135"/>
      <c r="B149" s="135"/>
      <c r="C149" s="135"/>
      <c r="D149" s="135"/>
      <c r="E149" s="198">
        <v>23</v>
      </c>
      <c r="F149" s="199">
        <f t="shared" si="50"/>
        <v>22</v>
      </c>
      <c r="G149" s="199">
        <f t="shared" si="51"/>
        <v>44</v>
      </c>
      <c r="H149" s="201">
        <f t="shared" si="52"/>
        <v>7.6278005035702517E-28</v>
      </c>
      <c r="I149" s="201"/>
      <c r="J149" s="237">
        <f>SUM(H$126:H149)</f>
        <v>1.0279762834600266</v>
      </c>
      <c r="K149" s="177"/>
      <c r="L149" s="175">
        <f t="shared" si="53"/>
        <v>48.442241102738372</v>
      </c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44"/>
      <c r="AE149" s="144"/>
      <c r="AF149" s="172"/>
      <c r="AG149" s="172"/>
      <c r="AH149" s="144"/>
      <c r="AI149" s="144"/>
      <c r="AJ149" s="148">
        <v>25</v>
      </c>
      <c r="AK149" s="187">
        <f t="shared" si="47"/>
        <v>1.5511210043330984E+25</v>
      </c>
      <c r="AL149" s="151">
        <f t="shared" si="48"/>
        <v>24</v>
      </c>
      <c r="AM149" s="151">
        <f t="shared" si="43"/>
        <v>48</v>
      </c>
      <c r="AN149" s="148"/>
      <c r="AO149" s="148">
        <v>2</v>
      </c>
      <c r="AP149" s="196">
        <f>((FACT(AM126)/(FACT(AJ126)*FACT(AL126)*2^(2*AJ126-1)))^2)*AR$119^(AO149)</f>
        <v>1.9290123456790122E-4</v>
      </c>
      <c r="AQ149" s="186">
        <f>SUM(AP$147:AP149)</f>
        <v>1.0279706790123455</v>
      </c>
      <c r="AR149" s="184">
        <f t="shared" si="54"/>
        <v>48.441976999363433</v>
      </c>
      <c r="AS149" s="151"/>
      <c r="AT149" s="187">
        <v>1</v>
      </c>
      <c r="AU149" s="187">
        <v>64</v>
      </c>
      <c r="AV149" s="151">
        <f t="shared" si="55"/>
        <v>1.5625E-2</v>
      </c>
      <c r="AW149" s="180"/>
      <c r="AX149" s="135"/>
      <c r="AY149" s="135"/>
      <c r="AZ149" s="135"/>
      <c r="BA149" s="135"/>
      <c r="BB149" s="135"/>
      <c r="BC149" s="135"/>
      <c r="BD149" s="135"/>
      <c r="BE149" s="135"/>
      <c r="BF149" s="135"/>
      <c r="BG149" s="135"/>
      <c r="BH149" s="135"/>
      <c r="BI149" s="135"/>
      <c r="BJ149" s="135"/>
      <c r="BK149" s="135"/>
      <c r="BL149" s="135"/>
    </row>
    <row r="150" spans="1:64">
      <c r="A150" s="135"/>
      <c r="B150" s="135"/>
      <c r="C150" s="135"/>
      <c r="D150" s="135"/>
      <c r="E150" s="198">
        <v>24</v>
      </c>
      <c r="F150" s="199">
        <f t="shared" si="50"/>
        <v>23</v>
      </c>
      <c r="G150" s="199">
        <f t="shared" si="51"/>
        <v>46</v>
      </c>
      <c r="H150" s="201">
        <f t="shared" si="52"/>
        <v>7.4490239292678199E-29</v>
      </c>
      <c r="I150" s="201"/>
      <c r="J150" s="237">
        <f>SUM(H$126:H150)</f>
        <v>1.0279762834600266</v>
      </c>
      <c r="K150" s="177"/>
      <c r="L150" s="175">
        <f t="shared" si="53"/>
        <v>48.442241102738372</v>
      </c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44"/>
      <c r="AE150" s="144"/>
      <c r="AF150" s="172"/>
      <c r="AG150" s="172"/>
      <c r="AH150" s="144"/>
      <c r="AI150" s="144"/>
      <c r="AJ150" s="148">
        <v>26</v>
      </c>
      <c r="AK150" s="187">
        <f t="shared" si="47"/>
        <v>4.0329146112660572E+26</v>
      </c>
      <c r="AL150" s="151">
        <f t="shared" si="48"/>
        <v>25</v>
      </c>
      <c r="AM150" s="151">
        <f t="shared" si="43"/>
        <v>50</v>
      </c>
      <c r="AN150" s="148"/>
      <c r="AO150" s="148">
        <v>3</v>
      </c>
      <c r="AP150" s="196">
        <f t="shared" ref="AP150:AP187" si="56">((FACT(AM127)/(FACT(AJ127)*FACT(AL127)*2^(2*AJ127-1)))^2)*AR$119^(AO150)</f>
        <v>5.358367626886145E-6</v>
      </c>
      <c r="AQ150" s="186">
        <f>SUM(AP$147:AP150)</f>
        <v>1.0279760373799725</v>
      </c>
      <c r="AR150" s="184">
        <f t="shared" si="54"/>
        <v>48.442229506489014</v>
      </c>
      <c r="AS150" s="151"/>
      <c r="AT150" s="187">
        <v>1</v>
      </c>
      <c r="AU150" s="187">
        <v>256</v>
      </c>
      <c r="AV150" s="151">
        <f t="shared" si="55"/>
        <v>3.90625E-3</v>
      </c>
      <c r="AW150" s="180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5"/>
      <c r="BI150" s="135"/>
      <c r="BJ150" s="135"/>
      <c r="BK150" s="135"/>
      <c r="BL150" s="135"/>
    </row>
    <row r="151" spans="1:64">
      <c r="A151" s="135"/>
      <c r="B151" s="135"/>
      <c r="C151" s="135"/>
      <c r="D151" s="135"/>
      <c r="E151" s="198">
        <v>25</v>
      </c>
      <c r="F151" s="199">
        <f t="shared" si="50"/>
        <v>24</v>
      </c>
      <c r="G151" s="199">
        <f t="shared" si="51"/>
        <v>48</v>
      </c>
      <c r="H151" s="201">
        <f t="shared" si="52"/>
        <v>7.313286159890049E-30</v>
      </c>
      <c r="I151" s="201"/>
      <c r="J151" s="237">
        <f>SUM(H$126:H151)</f>
        <v>1.0279762834600266</v>
      </c>
      <c r="K151" s="177"/>
      <c r="L151" s="175">
        <f t="shared" si="53"/>
        <v>48.442241102738372</v>
      </c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D151" s="144"/>
      <c r="AE151" s="144"/>
      <c r="AF151" s="172"/>
      <c r="AG151" s="172"/>
      <c r="AH151" s="144"/>
      <c r="AI151" s="144"/>
      <c r="AJ151" s="148">
        <v>27</v>
      </c>
      <c r="AK151" s="187">
        <f t="shared" si="47"/>
        <v>1.0888869450418352E+28</v>
      </c>
      <c r="AL151" s="151">
        <f t="shared" si="48"/>
        <v>26</v>
      </c>
      <c r="AM151" s="151">
        <f t="shared" si="43"/>
        <v>52</v>
      </c>
      <c r="AN151" s="148"/>
      <c r="AO151" s="148">
        <v>4</v>
      </c>
      <c r="AP151" s="196">
        <f t="shared" si="56"/>
        <v>2.325680393613778E-7</v>
      </c>
      <c r="AQ151" s="186">
        <f>SUM(AP$147:AP151)</f>
        <v>1.0279762699480117</v>
      </c>
      <c r="AR151" s="184">
        <f t="shared" si="54"/>
        <v>48.442240465999674</v>
      </c>
      <c r="AS151" s="151"/>
      <c r="AT151" s="187">
        <v>25</v>
      </c>
      <c r="AU151" s="187">
        <v>16384</v>
      </c>
      <c r="AV151" s="151">
        <f t="shared" si="55"/>
        <v>1.52587890625E-3</v>
      </c>
      <c r="AW151" s="180"/>
      <c r="AX151" s="135"/>
      <c r="AY151" s="135"/>
      <c r="AZ151" s="135"/>
      <c r="BA151" s="135"/>
      <c r="BB151" s="135"/>
      <c r="BC151" s="135"/>
      <c r="BD151" s="135"/>
      <c r="BE151" s="135"/>
      <c r="BF151" s="135"/>
      <c r="BG151" s="135"/>
      <c r="BH151" s="135"/>
      <c r="BI151" s="135"/>
      <c r="BJ151" s="135"/>
      <c r="BK151" s="135"/>
      <c r="BL151" s="135"/>
    </row>
    <row r="152" spans="1:64">
      <c r="A152" s="135"/>
      <c r="B152" s="135"/>
      <c r="C152" s="135"/>
      <c r="D152" s="135"/>
      <c r="E152" s="198">
        <v>26</v>
      </c>
      <c r="F152" s="199">
        <f t="shared" si="50"/>
        <v>25</v>
      </c>
      <c r="G152" s="199">
        <f t="shared" si="51"/>
        <v>50</v>
      </c>
      <c r="H152" s="201">
        <f t="shared" si="52"/>
        <v>7.2153188978862625E-31</v>
      </c>
      <c r="I152" s="201"/>
      <c r="J152" s="237">
        <f>SUM(H$126:H152)</f>
        <v>1.0279762834600266</v>
      </c>
      <c r="K152" s="177"/>
      <c r="L152" s="175">
        <f t="shared" si="53"/>
        <v>48.442241102738372</v>
      </c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44"/>
      <c r="AE152" s="144"/>
      <c r="AF152" s="172"/>
      <c r="AG152" s="172"/>
      <c r="AH152" s="144"/>
      <c r="AI152" s="144"/>
      <c r="AJ152" s="148">
        <v>28</v>
      </c>
      <c r="AK152" s="187">
        <f t="shared" si="47"/>
        <v>3.048883446117138E+29</v>
      </c>
      <c r="AL152" s="151">
        <f t="shared" si="48"/>
        <v>27</v>
      </c>
      <c r="AM152" s="151">
        <f t="shared" si="43"/>
        <v>54</v>
      </c>
      <c r="AN152" s="148"/>
      <c r="AO152" s="148">
        <v>5</v>
      </c>
      <c r="AP152" s="196">
        <f t="shared" si="56"/>
        <v>1.2662037698563902E-8</v>
      </c>
      <c r="AQ152" s="186">
        <f>SUM(AP$147:AP152)</f>
        <v>1.0279762826100494</v>
      </c>
      <c r="AR152" s="184">
        <f t="shared" si="54"/>
        <v>48.44224106268414</v>
      </c>
      <c r="AS152" s="151"/>
      <c r="AT152" s="187">
        <v>49</v>
      </c>
      <c r="AU152" s="187">
        <v>65536</v>
      </c>
      <c r="AV152" s="189">
        <f t="shared" si="55"/>
        <v>7.476806640625E-4</v>
      </c>
      <c r="AW152" s="180"/>
      <c r="AX152" s="135"/>
      <c r="AY152" s="135"/>
      <c r="AZ152" s="135"/>
      <c r="BA152" s="135"/>
      <c r="BB152" s="135"/>
      <c r="BC152" s="135"/>
      <c r="BD152" s="135"/>
      <c r="BE152" s="135"/>
      <c r="BF152" s="135"/>
      <c r="BG152" s="135"/>
      <c r="BH152" s="135"/>
      <c r="BI152" s="135"/>
      <c r="BJ152" s="135"/>
      <c r="BK152" s="135"/>
      <c r="BL152" s="135"/>
    </row>
    <row r="153" spans="1:64">
      <c r="A153" s="135"/>
      <c r="B153" s="135"/>
      <c r="C153" s="135"/>
      <c r="D153" s="135"/>
      <c r="E153" s="198">
        <v>27</v>
      </c>
      <c r="F153" s="199">
        <f t="shared" si="50"/>
        <v>26</v>
      </c>
      <c r="G153" s="199">
        <f t="shared" si="51"/>
        <v>52</v>
      </c>
      <c r="H153" s="201">
        <f t="shared" si="52"/>
        <v>7.1509847787693117E-32</v>
      </c>
      <c r="I153" s="201"/>
      <c r="J153" s="237">
        <f>SUM(H$126:H153)</f>
        <v>1.0279762834600266</v>
      </c>
      <c r="K153" s="177"/>
      <c r="L153" s="175">
        <f t="shared" si="53"/>
        <v>48.442241102738372</v>
      </c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44"/>
      <c r="AE153" s="144"/>
      <c r="AF153" s="172"/>
      <c r="AG153" s="172"/>
      <c r="AH153" s="144"/>
      <c r="AI153" s="144"/>
      <c r="AJ153" s="148">
        <v>29</v>
      </c>
      <c r="AK153" s="187">
        <f t="shared" si="47"/>
        <v>8.8417619937397008E+30</v>
      </c>
      <c r="AL153" s="151">
        <f t="shared" si="48"/>
        <v>28</v>
      </c>
      <c r="AM153" s="151">
        <f t="shared" si="43"/>
        <v>56</v>
      </c>
      <c r="AN153" s="148"/>
      <c r="AO153" s="148">
        <v>6</v>
      </c>
      <c r="AP153" s="196">
        <f t="shared" si="56"/>
        <v>7.9137735616024387E-10</v>
      </c>
      <c r="AQ153" s="186">
        <f>SUM(AP$147:AP153)</f>
        <v>1.0279762834014268</v>
      </c>
      <c r="AR153" s="184">
        <f t="shared" si="54"/>
        <v>48.442241099976918</v>
      </c>
      <c r="AS153" s="151"/>
      <c r="AT153" s="187">
        <v>441</v>
      </c>
      <c r="AU153" s="187">
        <v>1048576</v>
      </c>
      <c r="AV153" s="189">
        <f t="shared" si="55"/>
        <v>4.2057037353515625E-4</v>
      </c>
      <c r="AW153" s="180"/>
      <c r="AX153" s="135"/>
      <c r="AY153" s="135"/>
      <c r="AZ153" s="135"/>
      <c r="BA153" s="135"/>
      <c r="BB153" s="135"/>
      <c r="BC153" s="135"/>
      <c r="BD153" s="135"/>
      <c r="BE153" s="135"/>
      <c r="BF153" s="135"/>
      <c r="BG153" s="135"/>
      <c r="BH153" s="135"/>
      <c r="BI153" s="135"/>
      <c r="BJ153" s="135"/>
      <c r="BK153" s="135"/>
      <c r="BL153" s="135"/>
    </row>
    <row r="154" spans="1:64">
      <c r="A154" s="135"/>
      <c r="B154" s="135"/>
      <c r="C154" s="135"/>
      <c r="D154" s="135"/>
      <c r="E154" s="198">
        <v>28</v>
      </c>
      <c r="F154" s="199">
        <f t="shared" si="50"/>
        <v>27</v>
      </c>
      <c r="G154" s="199">
        <f t="shared" si="51"/>
        <v>54</v>
      </c>
      <c r="H154" s="201">
        <f t="shared" si="52"/>
        <v>7.117033816455136E-33</v>
      </c>
      <c r="I154" s="201"/>
      <c r="J154" s="237">
        <f>SUM(H$126:H154)</f>
        <v>1.0279762834600266</v>
      </c>
      <c r="K154" s="177"/>
      <c r="L154" s="175">
        <f t="shared" si="53"/>
        <v>48.442241102738372</v>
      </c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44"/>
      <c r="AE154" s="144"/>
      <c r="AF154" s="172"/>
      <c r="AG154" s="172"/>
      <c r="AH154" s="144"/>
      <c r="AI154" s="144"/>
      <c r="AJ154" s="148">
        <v>30</v>
      </c>
      <c r="AK154" s="187">
        <f t="shared" si="47"/>
        <v>2.652528598121911E+32</v>
      </c>
      <c r="AL154" s="151">
        <f t="shared" si="48"/>
        <v>29</v>
      </c>
      <c r="AM154" s="151">
        <f t="shared" si="43"/>
        <v>58</v>
      </c>
      <c r="AN154" s="148"/>
      <c r="AO154" s="148">
        <v>7</v>
      </c>
      <c r="AP154" s="196">
        <f t="shared" si="56"/>
        <v>5.4283820915753685E-11</v>
      </c>
      <c r="AQ154" s="186">
        <f>SUM(AP$147:AP154)</f>
        <v>1.0279762834557107</v>
      </c>
      <c r="AR154" s="184">
        <f t="shared" si="54"/>
        <v>48.442241102534986</v>
      </c>
      <c r="AS154" s="151"/>
      <c r="AT154" s="187">
        <v>1089</v>
      </c>
      <c r="AU154" s="187">
        <v>4194304</v>
      </c>
      <c r="AV154" s="189">
        <f t="shared" si="55"/>
        <v>2.5963783264160156E-4</v>
      </c>
      <c r="AW154" s="180"/>
      <c r="AX154" s="135"/>
      <c r="AY154" s="135"/>
      <c r="AZ154" s="135"/>
      <c r="BA154" s="135"/>
      <c r="BB154" s="135"/>
      <c r="BC154" s="135"/>
      <c r="BD154" s="135"/>
      <c r="BE154" s="135"/>
      <c r="BF154" s="135"/>
      <c r="BG154" s="135"/>
      <c r="BH154" s="135"/>
      <c r="BI154" s="135"/>
      <c r="BJ154" s="135"/>
      <c r="BK154" s="135"/>
      <c r="BL154" s="135"/>
    </row>
    <row r="155" spans="1:64">
      <c r="A155" s="135"/>
      <c r="B155" s="135"/>
      <c r="C155" s="135"/>
      <c r="D155" s="135"/>
      <c r="E155" s="198">
        <v>29</v>
      </c>
      <c r="F155" s="199">
        <f t="shared" si="50"/>
        <v>28</v>
      </c>
      <c r="G155" s="199">
        <f t="shared" si="51"/>
        <v>56</v>
      </c>
      <c r="H155" s="201">
        <f t="shared" si="52"/>
        <v>7.1109219496554335E-34</v>
      </c>
      <c r="I155" s="201"/>
      <c r="J155" s="237">
        <f>SUM(H$126:H155)</f>
        <v>1.0279762834600266</v>
      </c>
      <c r="K155" s="177"/>
      <c r="L155" s="175">
        <f t="shared" si="53"/>
        <v>48.442241102738372</v>
      </c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44"/>
      <c r="AE155" s="144"/>
      <c r="AF155" s="172"/>
      <c r="AG155" s="172"/>
      <c r="AH155" s="144"/>
      <c r="AI155" s="144"/>
      <c r="AJ155" s="148">
        <v>31</v>
      </c>
      <c r="AK155" s="187">
        <f t="shared" si="47"/>
        <v>8.2228386541779236E+33</v>
      </c>
      <c r="AL155" s="151">
        <f t="shared" si="48"/>
        <v>30</v>
      </c>
      <c r="AM155" s="151">
        <f t="shared" si="43"/>
        <v>60</v>
      </c>
      <c r="AN155" s="148"/>
      <c r="AO155" s="148">
        <v>8</v>
      </c>
      <c r="AP155" s="196">
        <f t="shared" si="56"/>
        <v>3.981755961268391E-12</v>
      </c>
      <c r="AQ155" s="186">
        <f>SUM(AP$147:AP155)</f>
        <v>1.0279762834596924</v>
      </c>
      <c r="AR155" s="184">
        <f t="shared" si="54"/>
        <v>48.442241102722619</v>
      </c>
      <c r="AS155" s="151"/>
      <c r="AT155" s="187">
        <v>184041</v>
      </c>
      <c r="AU155" s="187">
        <v>1073741824</v>
      </c>
      <c r="AV155" s="189">
        <f>AT155/AU155</f>
        <v>1.7140153795480728E-4</v>
      </c>
      <c r="AW155" s="180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35"/>
      <c r="BH155" s="135"/>
      <c r="BI155" s="135"/>
      <c r="BJ155" s="135"/>
      <c r="BK155" s="135"/>
      <c r="BL155" s="135"/>
    </row>
    <row r="156" spans="1:64">
      <c r="A156" s="135"/>
      <c r="B156" s="135"/>
      <c r="C156" s="135"/>
      <c r="D156" s="135"/>
      <c r="E156" s="198">
        <v>30</v>
      </c>
      <c r="F156" s="199">
        <f t="shared" si="50"/>
        <v>29</v>
      </c>
      <c r="G156" s="199">
        <f t="shared" si="51"/>
        <v>58</v>
      </c>
      <c r="H156" s="201">
        <f t="shared" si="52"/>
        <v>7.1306745106267017E-35</v>
      </c>
      <c r="I156" s="201"/>
      <c r="J156" s="237">
        <f>SUM(H$126:H156)</f>
        <v>1.0279762834600266</v>
      </c>
      <c r="K156" s="177"/>
      <c r="L156" s="175">
        <f t="shared" si="53"/>
        <v>48.442241102738372</v>
      </c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44"/>
      <c r="AE156" s="144"/>
      <c r="AF156" s="172"/>
      <c r="AG156" s="172"/>
      <c r="AH156" s="144"/>
      <c r="AI156" s="144"/>
      <c r="AJ156" s="148">
        <v>32</v>
      </c>
      <c r="AK156" s="187">
        <f t="shared" si="47"/>
        <v>2.6313083693369355E+35</v>
      </c>
      <c r="AL156" s="151">
        <f t="shared" si="48"/>
        <v>31</v>
      </c>
      <c r="AM156" s="151">
        <f t="shared" si="43"/>
        <v>62</v>
      </c>
      <c r="AN156" s="148"/>
      <c r="AO156" s="148">
        <v>9</v>
      </c>
      <c r="AP156" s="196">
        <f t="shared" si="56"/>
        <v>3.0723425627070918E-13</v>
      </c>
      <c r="AQ156" s="186">
        <f>SUM(AP$147:AP156)</f>
        <v>1.0279762834599997</v>
      </c>
      <c r="AR156" s="184">
        <f t="shared" si="54"/>
        <v>48.4422411027371</v>
      </c>
      <c r="AS156" s="151"/>
      <c r="AT156" s="151"/>
      <c r="AU156" s="144"/>
      <c r="AV156" s="144"/>
      <c r="AW156" s="180"/>
      <c r="AX156" s="135"/>
      <c r="AY156" s="135"/>
      <c r="AZ156" s="135"/>
      <c r="BA156" s="135"/>
      <c r="BB156" s="135"/>
      <c r="BC156" s="135"/>
      <c r="BD156" s="135"/>
      <c r="BE156" s="135"/>
      <c r="BF156" s="135"/>
      <c r="BG156" s="135"/>
      <c r="BH156" s="135"/>
      <c r="BI156" s="135"/>
      <c r="BJ156" s="135"/>
      <c r="BK156" s="135"/>
      <c r="BL156" s="135"/>
    </row>
    <row r="157" spans="1:64">
      <c r="A157" s="135"/>
      <c r="B157" s="135"/>
      <c r="C157" s="135"/>
      <c r="D157" s="135"/>
      <c r="E157" s="198">
        <v>31</v>
      </c>
      <c r="F157" s="199">
        <f t="shared" si="50"/>
        <v>30</v>
      </c>
      <c r="G157" s="199">
        <f t="shared" si="51"/>
        <v>60</v>
      </c>
      <c r="H157" s="201">
        <f t="shared" si="52"/>
        <v>7.1747826255901056E-36</v>
      </c>
      <c r="I157" s="201"/>
      <c r="J157" s="237">
        <f>SUM(H$126:H157)</f>
        <v>1.0279762834600266</v>
      </c>
      <c r="K157" s="177"/>
      <c r="L157" s="175">
        <f t="shared" si="53"/>
        <v>48.442241102738372</v>
      </c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44"/>
      <c r="AE157" s="144"/>
      <c r="AF157" s="172"/>
      <c r="AG157" s="172"/>
      <c r="AH157" s="144"/>
      <c r="AI157" s="144"/>
      <c r="AJ157" s="148">
        <v>33</v>
      </c>
      <c r="AK157" s="187">
        <f t="shared" si="47"/>
        <v>8.6833176188118895E+36</v>
      </c>
      <c r="AL157" s="151">
        <f t="shared" si="48"/>
        <v>32</v>
      </c>
      <c r="AM157" s="151">
        <f t="shared" si="43"/>
        <v>64</v>
      </c>
      <c r="AN157" s="148"/>
      <c r="AO157" s="148">
        <v>10</v>
      </c>
      <c r="AP157" s="196">
        <f t="shared" si="56"/>
        <v>2.4664083350620819E-14</v>
      </c>
      <c r="AQ157" s="186">
        <f>SUM(AP$147:AP157)</f>
        <v>1.0279762834600243</v>
      </c>
      <c r="AR157" s="184">
        <f t="shared" si="54"/>
        <v>48.442241102738265</v>
      </c>
      <c r="AS157" s="151"/>
      <c r="AT157" s="151"/>
      <c r="AU157" s="144"/>
      <c r="AV157" s="144"/>
      <c r="AW157" s="180"/>
      <c r="AX157" s="135"/>
      <c r="AY157" s="135"/>
      <c r="AZ157" s="135"/>
      <c r="BA157" s="135"/>
      <c r="BB157" s="135"/>
      <c r="BC157" s="135"/>
      <c r="BD157" s="135"/>
      <c r="BE157" s="135"/>
      <c r="BF157" s="135"/>
      <c r="BG157" s="135"/>
      <c r="BH157" s="135"/>
      <c r="BI157" s="135"/>
      <c r="BJ157" s="135"/>
      <c r="BK157" s="135"/>
      <c r="BL157" s="135"/>
    </row>
    <row r="158" spans="1:64">
      <c r="A158" s="135"/>
      <c r="B158" s="135"/>
      <c r="C158" s="135"/>
      <c r="D158" s="135"/>
      <c r="E158" s="198">
        <v>32</v>
      </c>
      <c r="F158" s="199">
        <f t="shared" si="50"/>
        <v>31</v>
      </c>
      <c r="G158" s="199">
        <f t="shared" si="51"/>
        <v>62</v>
      </c>
      <c r="H158" s="201">
        <f t="shared" si="52"/>
        <v>7.2421240640789884E-37</v>
      </c>
      <c r="I158" s="201"/>
      <c r="J158" s="237">
        <f>SUM(H$126:H158)</f>
        <v>1.0279762834600266</v>
      </c>
      <c r="K158" s="177"/>
      <c r="L158" s="175">
        <f t="shared" si="53"/>
        <v>48.442241102738372</v>
      </c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  <c r="AB158" s="135"/>
      <c r="AC158" s="135"/>
      <c r="AD158" s="144"/>
      <c r="AE158" s="144"/>
      <c r="AF158" s="172"/>
      <c r="AG158" s="172"/>
      <c r="AH158" s="144"/>
      <c r="AI158" s="144"/>
      <c r="AJ158" s="148">
        <v>34</v>
      </c>
      <c r="AK158" s="187">
        <f t="shared" si="47"/>
        <v>2.9523279903960408E+38</v>
      </c>
      <c r="AL158" s="151">
        <f t="shared" si="48"/>
        <v>33</v>
      </c>
      <c r="AM158" s="151">
        <f t="shared" si="43"/>
        <v>66</v>
      </c>
      <c r="AN158" s="148"/>
      <c r="AO158" s="148">
        <v>11</v>
      </c>
      <c r="AP158" s="196">
        <f t="shared" si="56"/>
        <v>2.0440160903521845E-15</v>
      </c>
      <c r="AQ158" s="186">
        <f>SUM(AP$147:AP158)</f>
        <v>1.0279762834600263</v>
      </c>
      <c r="AR158" s="184">
        <f t="shared" si="54"/>
        <v>48.442241102738357</v>
      </c>
      <c r="AS158" s="151"/>
      <c r="AT158" s="151"/>
      <c r="AU158" s="144"/>
      <c r="AV158" s="144"/>
      <c r="AW158" s="180"/>
      <c r="AX158" s="135"/>
      <c r="AY158" s="135"/>
      <c r="AZ158" s="135"/>
      <c r="BA158" s="135"/>
      <c r="BB158" s="135"/>
      <c r="BC158" s="135"/>
      <c r="BD158" s="135"/>
      <c r="BE158" s="135"/>
      <c r="BF158" s="135"/>
      <c r="BG158" s="135"/>
      <c r="BH158" s="135"/>
      <c r="BI158" s="135"/>
      <c r="BJ158" s="135"/>
      <c r="BK158" s="135"/>
      <c r="BL158" s="135"/>
    </row>
    <row r="159" spans="1:64">
      <c r="A159" s="135"/>
      <c r="B159" s="135"/>
      <c r="C159" s="135"/>
      <c r="D159" s="135"/>
      <c r="E159" s="198">
        <v>33</v>
      </c>
      <c r="F159" s="199">
        <f t="shared" si="50"/>
        <v>32</v>
      </c>
      <c r="G159" s="199">
        <f t="shared" si="51"/>
        <v>64</v>
      </c>
      <c r="H159" s="201">
        <f t="shared" si="52"/>
        <v>7.3319024615675633E-38</v>
      </c>
      <c r="I159" s="201"/>
      <c r="J159" s="237">
        <f>SUM(H$126:H159)</f>
        <v>1.0279762834600266</v>
      </c>
      <c r="K159" s="177"/>
      <c r="L159" s="175">
        <f t="shared" si="53"/>
        <v>48.442241102738372</v>
      </c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44"/>
      <c r="AE159" s="144"/>
      <c r="AF159" s="172"/>
      <c r="AG159" s="172"/>
      <c r="AH159" s="144"/>
      <c r="AI159" s="144"/>
      <c r="AJ159" s="148">
        <v>35</v>
      </c>
      <c r="AK159" s="187">
        <f t="shared" si="47"/>
        <v>1.0333147966386144E+40</v>
      </c>
      <c r="AL159" s="151">
        <f t="shared" si="48"/>
        <v>34</v>
      </c>
      <c r="AM159" s="151">
        <f t="shared" si="43"/>
        <v>68</v>
      </c>
      <c r="AN159" s="151"/>
      <c r="AO159" s="148">
        <v>12</v>
      </c>
      <c r="AP159" s="196">
        <f t="shared" si="56"/>
        <v>1.7388331324176566E-16</v>
      </c>
      <c r="AQ159" s="186">
        <f>SUM(AP$147:AP159)</f>
        <v>1.0279762834600266</v>
      </c>
      <c r="AR159" s="184">
        <f t="shared" si="54"/>
        <v>48.442241102738372</v>
      </c>
      <c r="AS159" s="151"/>
      <c r="AT159" s="151"/>
      <c r="AU159" s="144"/>
      <c r="AV159" s="144"/>
      <c r="AW159" s="180"/>
      <c r="AX159" s="135"/>
      <c r="AY159" s="135"/>
      <c r="AZ159" s="135"/>
      <c r="BA159" s="135"/>
      <c r="BB159" s="135"/>
      <c r="BC159" s="135"/>
      <c r="BD159" s="135"/>
      <c r="BE159" s="135"/>
      <c r="BF159" s="135"/>
      <c r="BG159" s="135"/>
      <c r="BH159" s="135"/>
      <c r="BI159" s="135"/>
      <c r="BJ159" s="135"/>
      <c r="BK159" s="135"/>
      <c r="BL159" s="135"/>
    </row>
    <row r="160" spans="1:64">
      <c r="A160" s="135"/>
      <c r="B160" s="135"/>
      <c r="C160" s="135"/>
      <c r="D160" s="135"/>
      <c r="E160" s="198">
        <v>34</v>
      </c>
      <c r="F160" s="199">
        <f t="shared" si="50"/>
        <v>33</v>
      </c>
      <c r="G160" s="199">
        <f t="shared" si="51"/>
        <v>66</v>
      </c>
      <c r="H160" s="201">
        <f t="shared" si="52"/>
        <v>7.443600514254856E-39</v>
      </c>
      <c r="I160" s="201"/>
      <c r="J160" s="237">
        <f>SUM(H$126:H160)</f>
        <v>1.0279762834600266</v>
      </c>
      <c r="K160" s="177"/>
      <c r="L160" s="175">
        <f t="shared" si="53"/>
        <v>48.442241102738372</v>
      </c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44"/>
      <c r="AE160" s="144"/>
      <c r="AF160" s="172"/>
      <c r="AG160" s="172"/>
      <c r="AH160" s="144"/>
      <c r="AI160" s="144"/>
      <c r="AJ160" s="148">
        <v>36</v>
      </c>
      <c r="AK160" s="187">
        <f t="shared" si="47"/>
        <v>3.7199332678990133E+41</v>
      </c>
      <c r="AL160" s="151">
        <f t="shared" si="48"/>
        <v>35</v>
      </c>
      <c r="AM160" s="151">
        <f t="shared" si="43"/>
        <v>70</v>
      </c>
      <c r="AN160" s="144"/>
      <c r="AO160" s="148">
        <v>13</v>
      </c>
      <c r="AP160" s="196">
        <f t="shared" si="56"/>
        <v>1.5119045480751812E-17</v>
      </c>
      <c r="AQ160" s="186">
        <f>SUM(AP$147:AP160)</f>
        <v>1.0279762834600266</v>
      </c>
      <c r="AR160" s="184">
        <f t="shared" si="54"/>
        <v>48.442241102738372</v>
      </c>
      <c r="AS160" s="144"/>
      <c r="AT160" s="144"/>
      <c r="AU160" s="144"/>
      <c r="AV160" s="144"/>
      <c r="AW160" s="180"/>
      <c r="AX160" s="135"/>
      <c r="AY160" s="135"/>
      <c r="AZ160" s="135"/>
      <c r="BA160" s="135"/>
      <c r="BB160" s="135"/>
      <c r="BC160" s="135"/>
      <c r="BD160" s="135"/>
      <c r="BE160" s="135"/>
      <c r="BF160" s="135"/>
      <c r="BG160" s="135"/>
      <c r="BH160" s="135"/>
      <c r="BI160" s="135"/>
      <c r="BJ160" s="135"/>
      <c r="BK160" s="135"/>
      <c r="BL160" s="135"/>
    </row>
    <row r="161" spans="1:64">
      <c r="A161" s="135"/>
      <c r="B161" s="135"/>
      <c r="C161" s="135"/>
      <c r="D161" s="135"/>
      <c r="E161" s="198">
        <v>35</v>
      </c>
      <c r="F161" s="199">
        <f t="shared" si="50"/>
        <v>34</v>
      </c>
      <c r="G161" s="199">
        <f t="shared" si="51"/>
        <v>68</v>
      </c>
      <c r="H161" s="201">
        <f t="shared" si="52"/>
        <v>7.5769439248276727E-40</v>
      </c>
      <c r="I161" s="201"/>
      <c r="J161" s="237">
        <f>SUM(H$126:H161)</f>
        <v>1.0279762834600266</v>
      </c>
      <c r="K161" s="177"/>
      <c r="L161" s="175">
        <f t="shared" si="53"/>
        <v>48.442241102738372</v>
      </c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44"/>
      <c r="AE161" s="144"/>
      <c r="AF161" s="172"/>
      <c r="AG161" s="172"/>
      <c r="AH161" s="144"/>
      <c r="AI161" s="144"/>
      <c r="AJ161" s="148">
        <v>37</v>
      </c>
      <c r="AK161" s="187">
        <f t="shared" si="47"/>
        <v>1.3763753091226346E+43</v>
      </c>
      <c r="AL161" s="151">
        <f t="shared" si="48"/>
        <v>36</v>
      </c>
      <c r="AM161" s="151">
        <f t="shared" si="43"/>
        <v>72</v>
      </c>
      <c r="AN161" s="144"/>
      <c r="AO161" s="148">
        <v>14</v>
      </c>
      <c r="AP161" s="196">
        <f t="shared" si="56"/>
        <v>1.339201165741197E-18</v>
      </c>
      <c r="AQ161" s="186">
        <f>SUM(AP$147:AP161)</f>
        <v>1.0279762834600266</v>
      </c>
      <c r="AR161" s="184">
        <f t="shared" si="54"/>
        <v>48.442241102738372</v>
      </c>
      <c r="AS161" s="144"/>
      <c r="AT161" s="144"/>
      <c r="AU161" s="144"/>
      <c r="AV161" s="144"/>
      <c r="AW161" s="180"/>
      <c r="AX161" s="135"/>
      <c r="AY161" s="135"/>
      <c r="AZ161" s="135"/>
      <c r="BA161" s="135"/>
      <c r="BB161" s="135"/>
      <c r="BC161" s="135"/>
      <c r="BD161" s="135"/>
      <c r="BE161" s="135"/>
      <c r="BF161" s="135"/>
      <c r="BG161" s="135"/>
      <c r="BH161" s="135"/>
      <c r="BI161" s="135"/>
      <c r="BJ161" s="135"/>
      <c r="BK161" s="135"/>
      <c r="BL161" s="135"/>
    </row>
    <row r="162" spans="1:64">
      <c r="A162" s="135"/>
      <c r="B162" s="135"/>
      <c r="C162" s="135"/>
      <c r="D162" s="135"/>
      <c r="E162" s="198">
        <v>36</v>
      </c>
      <c r="F162" s="199">
        <f t="shared" si="50"/>
        <v>35</v>
      </c>
      <c r="G162" s="199">
        <f t="shared" si="51"/>
        <v>70</v>
      </c>
      <c r="H162" s="201">
        <f t="shared" si="52"/>
        <v>7.7318737195868755E-41</v>
      </c>
      <c r="I162" s="201"/>
      <c r="J162" s="237">
        <f>SUM(H$126:H162)</f>
        <v>1.0279762834600266</v>
      </c>
      <c r="K162" s="177"/>
      <c r="L162" s="175">
        <f t="shared" si="53"/>
        <v>48.442241102738372</v>
      </c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44"/>
      <c r="AE162" s="144"/>
      <c r="AF162" s="172"/>
      <c r="AG162" s="172"/>
      <c r="AH162" s="144"/>
      <c r="AI162" s="144"/>
      <c r="AJ162" s="148">
        <v>38</v>
      </c>
      <c r="AK162" s="187">
        <f t="shared" si="47"/>
        <v>5.2302261746660104E+44</v>
      </c>
      <c r="AL162" s="151">
        <f t="shared" si="48"/>
        <v>37</v>
      </c>
      <c r="AM162" s="151">
        <f t="shared" si="43"/>
        <v>74</v>
      </c>
      <c r="AN162" s="144"/>
      <c r="AO162" s="148">
        <v>15</v>
      </c>
      <c r="AP162" s="196">
        <f t="shared" si="56"/>
        <v>1.2052810491670765E-19</v>
      </c>
      <c r="AQ162" s="186">
        <f>SUM(AP$147:AP162)</f>
        <v>1.0279762834600266</v>
      </c>
      <c r="AR162" s="184">
        <f t="shared" si="54"/>
        <v>48.442241102738372</v>
      </c>
      <c r="AS162" s="144"/>
      <c r="AT162" s="144"/>
      <c r="AU162" s="144"/>
      <c r="AV162" s="144"/>
      <c r="AW162" s="180"/>
      <c r="AX162" s="135"/>
      <c r="AY162" s="135"/>
      <c r="AZ162" s="135"/>
      <c r="BA162" s="135"/>
      <c r="BB162" s="135"/>
      <c r="BC162" s="135"/>
      <c r="BD162" s="135"/>
      <c r="BE162" s="135"/>
      <c r="BF162" s="135"/>
      <c r="BG162" s="135"/>
      <c r="BH162" s="135"/>
      <c r="BI162" s="135"/>
      <c r="BJ162" s="135"/>
      <c r="BK162" s="135"/>
      <c r="BL162" s="135"/>
    </row>
    <row r="163" spans="1:64">
      <c r="A163" s="135"/>
      <c r="B163" s="135"/>
      <c r="C163" s="135"/>
      <c r="D163" s="135"/>
      <c r="E163" s="198">
        <v>37</v>
      </c>
      <c r="F163" s="199">
        <f t="shared" si="50"/>
        <v>36</v>
      </c>
      <c r="G163" s="199">
        <f t="shared" si="51"/>
        <v>72</v>
      </c>
      <c r="H163" s="201">
        <f t="shared" si="52"/>
        <v>7.9085251644423057E-42</v>
      </c>
      <c r="I163" s="201"/>
      <c r="J163" s="237">
        <f>SUM(H$126:H163)</f>
        <v>1.0279762834600266</v>
      </c>
      <c r="K163" s="177"/>
      <c r="L163" s="175">
        <f t="shared" si="53"/>
        <v>48.442241102738372</v>
      </c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  <c r="AB163" s="135"/>
      <c r="AC163" s="135"/>
      <c r="AD163" s="144"/>
      <c r="AE163" s="144"/>
      <c r="AF163" s="172"/>
      <c r="AG163" s="172"/>
      <c r="AH163" s="144"/>
      <c r="AI163" s="144"/>
      <c r="AJ163" s="148">
        <v>39</v>
      </c>
      <c r="AK163" s="187">
        <f t="shared" si="47"/>
        <v>2.0397882081197447E+46</v>
      </c>
      <c r="AL163" s="151">
        <f t="shared" si="48"/>
        <v>38</v>
      </c>
      <c r="AM163" s="151">
        <f t="shared" si="43"/>
        <v>76</v>
      </c>
      <c r="AN163" s="144"/>
      <c r="AO163" s="148">
        <v>16</v>
      </c>
      <c r="AP163" s="196">
        <f t="shared" si="56"/>
        <v>1.0998712699104946E-20</v>
      </c>
      <c r="AQ163" s="186">
        <f>SUM(AP$147:AP163)</f>
        <v>1.0279762834600266</v>
      </c>
      <c r="AR163" s="184">
        <f t="shared" si="54"/>
        <v>48.442241102738372</v>
      </c>
      <c r="AS163" s="144"/>
      <c r="AT163" s="144"/>
      <c r="AU163" s="144"/>
      <c r="AV163" s="144"/>
      <c r="AW163" s="180"/>
      <c r="AX163" s="135"/>
      <c r="AY163" s="135"/>
      <c r="AZ163" s="135"/>
      <c r="BA163" s="135"/>
      <c r="BB163" s="135"/>
      <c r="BC163" s="135"/>
      <c r="BD163" s="135"/>
      <c r="BE163" s="135"/>
      <c r="BF163" s="135"/>
      <c r="BG163" s="135"/>
      <c r="BH163" s="135"/>
      <c r="BI163" s="135"/>
      <c r="BJ163" s="135"/>
      <c r="BK163" s="135"/>
      <c r="BL163" s="135"/>
    </row>
    <row r="164" spans="1:64">
      <c r="A164" s="135"/>
      <c r="B164" s="135"/>
      <c r="C164" s="135"/>
      <c r="D164" s="135"/>
      <c r="E164" s="198">
        <v>38</v>
      </c>
      <c r="F164" s="199">
        <f t="shared" si="50"/>
        <v>37</v>
      </c>
      <c r="G164" s="199">
        <f t="shared" si="51"/>
        <v>74</v>
      </c>
      <c r="H164" s="201">
        <f t="shared" si="52"/>
        <v>8.1072119500833082E-43</v>
      </c>
      <c r="I164" s="201"/>
      <c r="J164" s="237">
        <f>SUM(H$126:H164)</f>
        <v>1.0279762834600266</v>
      </c>
      <c r="K164" s="177"/>
      <c r="L164" s="175">
        <f t="shared" si="53"/>
        <v>48.442241102738372</v>
      </c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  <c r="AB164" s="135"/>
      <c r="AC164" s="135"/>
      <c r="AD164" s="144"/>
      <c r="AE164" s="144"/>
      <c r="AF164" s="172"/>
      <c r="AG164" s="172"/>
      <c r="AH164" s="144"/>
      <c r="AI164" s="144"/>
      <c r="AJ164" s="148">
        <v>40</v>
      </c>
      <c r="AK164" s="187">
        <f t="shared" si="47"/>
        <v>8.1591528324789801E+47</v>
      </c>
      <c r="AL164" s="151">
        <f t="shared" si="48"/>
        <v>39</v>
      </c>
      <c r="AM164" s="151">
        <f t="shared" si="43"/>
        <v>78</v>
      </c>
      <c r="AN164" s="144"/>
      <c r="AO164" s="148">
        <v>17</v>
      </c>
      <c r="AP164" s="196">
        <f t="shared" si="56"/>
        <v>1.0159326128258218E-21</v>
      </c>
      <c r="AQ164" s="186">
        <f>SUM(AP$147:AP164)</f>
        <v>1.0279762834600266</v>
      </c>
      <c r="AR164" s="184">
        <f t="shared" si="54"/>
        <v>48.442241102738372</v>
      </c>
      <c r="AS164" s="144"/>
      <c r="AT164" s="144"/>
      <c r="AU164" s="144"/>
      <c r="AV164" s="144"/>
      <c r="AW164" s="180"/>
      <c r="AX164" s="135"/>
      <c r="AY164" s="135"/>
      <c r="AZ164" s="135"/>
      <c r="BA164" s="135"/>
      <c r="BB164" s="135"/>
      <c r="BC164" s="135"/>
      <c r="BD164" s="135"/>
      <c r="BE164" s="135"/>
      <c r="BF164" s="135"/>
      <c r="BG164" s="135"/>
      <c r="BH164" s="135"/>
      <c r="BI164" s="135"/>
      <c r="BJ164" s="135"/>
      <c r="BK164" s="135"/>
      <c r="BL164" s="135"/>
    </row>
    <row r="165" spans="1:64">
      <c r="A165" s="135"/>
      <c r="B165" s="135"/>
      <c r="C165" s="135"/>
      <c r="D165" s="135"/>
      <c r="E165" s="198">
        <v>39</v>
      </c>
      <c r="F165" s="199">
        <f t="shared" si="50"/>
        <v>38</v>
      </c>
      <c r="G165" s="199">
        <f t="shared" si="51"/>
        <v>76</v>
      </c>
      <c r="H165" s="201">
        <f t="shared" si="52"/>
        <v>8.3284146430014229E-44</v>
      </c>
      <c r="I165" s="201"/>
      <c r="J165" s="237">
        <f>SUM(H$126:H165)</f>
        <v>1.0279762834600266</v>
      </c>
      <c r="K165" s="177"/>
      <c r="L165" s="175">
        <f t="shared" si="53"/>
        <v>48.442241102738372</v>
      </c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135"/>
      <c r="AD165" s="144"/>
      <c r="AE165" s="144"/>
      <c r="AF165" s="172"/>
      <c r="AG165" s="172"/>
      <c r="AH165" s="144"/>
      <c r="AI165" s="144"/>
      <c r="AJ165" s="144"/>
      <c r="AK165" s="144"/>
      <c r="AL165" s="144"/>
      <c r="AM165" s="144"/>
      <c r="AN165" s="144"/>
      <c r="AO165" s="148">
        <v>18</v>
      </c>
      <c r="AP165" s="196">
        <f t="shared" si="56"/>
        <v>9.4851733141916977E-23</v>
      </c>
      <c r="AQ165" s="186">
        <f>SUM(AP$147:AP165)</f>
        <v>1.0279762834600266</v>
      </c>
      <c r="AR165" s="184">
        <f t="shared" si="54"/>
        <v>48.442241102738372</v>
      </c>
      <c r="AS165" s="144"/>
      <c r="AT165" s="144"/>
      <c r="AU165" s="144"/>
      <c r="AV165" s="144"/>
      <c r="AW165" s="180"/>
      <c r="AX165" s="135"/>
      <c r="AY165" s="135"/>
      <c r="AZ165" s="135"/>
      <c r="BA165" s="135"/>
      <c r="BB165" s="135"/>
      <c r="BC165" s="135"/>
      <c r="BD165" s="135"/>
      <c r="BE165" s="135"/>
      <c r="BF165" s="135"/>
      <c r="BG165" s="135"/>
      <c r="BH165" s="135"/>
      <c r="BI165" s="135"/>
      <c r="BJ165" s="135"/>
      <c r="BK165" s="135"/>
      <c r="BL165" s="135"/>
    </row>
    <row r="166" spans="1:64">
      <c r="A166" s="135"/>
      <c r="B166" s="135"/>
      <c r="C166" s="135"/>
      <c r="D166" s="135"/>
      <c r="E166" s="198">
        <v>40</v>
      </c>
      <c r="F166" s="199">
        <f t="shared" si="50"/>
        <v>39</v>
      </c>
      <c r="G166" s="199">
        <f t="shared" si="51"/>
        <v>78</v>
      </c>
      <c r="H166" s="201">
        <f t="shared" si="52"/>
        <v>8.5727726420755804E-45</v>
      </c>
      <c r="I166" s="201"/>
      <c r="J166" s="237">
        <f>SUM(H$126:H166)</f>
        <v>1.0279762834600266</v>
      </c>
      <c r="K166" s="177"/>
      <c r="L166" s="175">
        <f t="shared" si="53"/>
        <v>48.442241102738372</v>
      </c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  <c r="AB166" s="135"/>
      <c r="AC166" s="135"/>
      <c r="AD166" s="144"/>
      <c r="AE166" s="144"/>
      <c r="AF166" s="172"/>
      <c r="AG166" s="172"/>
      <c r="AH166" s="144"/>
      <c r="AI166" s="144"/>
      <c r="AJ166" s="144"/>
      <c r="AK166" s="144"/>
      <c r="AL166" s="144"/>
      <c r="AM166" s="144"/>
      <c r="AN166" s="144"/>
      <c r="AO166" s="148">
        <v>19</v>
      </c>
      <c r="AP166" s="196">
        <f t="shared" si="56"/>
        <v>8.9407027622998158E-24</v>
      </c>
      <c r="AQ166" s="186">
        <f>SUM(AP$147:AP166)</f>
        <v>1.0279762834600266</v>
      </c>
      <c r="AR166" s="184">
        <f t="shared" si="54"/>
        <v>48.442241102738372</v>
      </c>
      <c r="AS166" s="144"/>
      <c r="AT166" s="144"/>
      <c r="AU166" s="144"/>
      <c r="AV166" s="144"/>
      <c r="AW166" s="180"/>
      <c r="AX166" s="135"/>
      <c r="AY166" s="135"/>
      <c r="AZ166" s="135"/>
      <c r="BA166" s="135"/>
      <c r="BB166" s="135"/>
      <c r="BC166" s="135"/>
      <c r="BD166" s="135"/>
      <c r="BE166" s="135"/>
      <c r="BF166" s="135"/>
      <c r="BG166" s="135"/>
      <c r="BH166" s="135"/>
      <c r="BI166" s="135"/>
      <c r="BJ166" s="135"/>
      <c r="BK166" s="135"/>
      <c r="BL166" s="135"/>
    </row>
    <row r="167" spans="1:64">
      <c r="A167" s="135"/>
      <c r="B167" s="135"/>
      <c r="C167" s="135"/>
      <c r="D167" s="135"/>
      <c r="E167" s="198">
        <v>41</v>
      </c>
      <c r="F167" s="199">
        <f t="shared" si="50"/>
        <v>40</v>
      </c>
      <c r="G167" s="199">
        <f t="shared" si="51"/>
        <v>80</v>
      </c>
      <c r="H167" s="201">
        <f t="shared" si="52"/>
        <v>8.8410790632549686E-46</v>
      </c>
      <c r="I167" s="201"/>
      <c r="J167" s="237">
        <f>SUM(H$126:H167)</f>
        <v>1.0279762834600266</v>
      </c>
      <c r="K167" s="177"/>
      <c r="L167" s="175">
        <f t="shared" si="53"/>
        <v>48.442241102738372</v>
      </c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44"/>
      <c r="AE167" s="144"/>
      <c r="AF167" s="172"/>
      <c r="AG167" s="172"/>
      <c r="AH167" s="144"/>
      <c r="AI167" s="144"/>
      <c r="AJ167" s="144"/>
      <c r="AK167" s="144"/>
      <c r="AL167" s="144"/>
      <c r="AM167" s="144"/>
      <c r="AN167" s="144"/>
      <c r="AO167" s="148">
        <v>20</v>
      </c>
      <c r="AP167" s="196">
        <f t="shared" si="56"/>
        <v>8.4998764455475246E-25</v>
      </c>
      <c r="AQ167" s="186">
        <f>SUM(AP$147:AP167)</f>
        <v>1.0279762834600266</v>
      </c>
      <c r="AR167" s="184">
        <f t="shared" si="54"/>
        <v>48.442241102738372</v>
      </c>
      <c r="AS167" s="144"/>
      <c r="AT167" s="144"/>
      <c r="AU167" s="144"/>
      <c r="AV167" s="144"/>
      <c r="AW167" s="180"/>
      <c r="AX167" s="135"/>
      <c r="AY167" s="135"/>
      <c r="AZ167" s="135"/>
      <c r="BA167" s="135"/>
      <c r="BB167" s="135"/>
      <c r="BC167" s="135"/>
      <c r="BD167" s="135"/>
      <c r="BE167" s="135"/>
      <c r="BF167" s="135"/>
      <c r="BG167" s="135"/>
      <c r="BH167" s="135"/>
      <c r="BI167" s="135"/>
      <c r="BJ167" s="135"/>
      <c r="BK167" s="135"/>
      <c r="BL167" s="135"/>
    </row>
    <row r="168" spans="1:64">
      <c r="A168" s="135"/>
      <c r="B168" s="135"/>
      <c r="C168" s="135"/>
      <c r="D168" s="135"/>
      <c r="E168" s="198">
        <v>42</v>
      </c>
      <c r="F168" s="199">
        <f t="shared" si="50"/>
        <v>41</v>
      </c>
      <c r="G168" s="199">
        <f t="shared" si="51"/>
        <v>82</v>
      </c>
      <c r="H168" s="201">
        <f t="shared" si="52"/>
        <v>9.13427811382211E-47</v>
      </c>
      <c r="I168" s="201"/>
      <c r="J168" s="237">
        <f>SUM(H$126:H168)</f>
        <v>1.0279762834600266</v>
      </c>
      <c r="K168" s="177"/>
      <c r="L168" s="175">
        <f t="shared" si="53"/>
        <v>48.442241102738372</v>
      </c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44"/>
      <c r="AE168" s="144"/>
      <c r="AF168" s="172"/>
      <c r="AG168" s="172"/>
      <c r="AH168" s="144"/>
      <c r="AI168" s="144"/>
      <c r="AJ168" s="144"/>
      <c r="AK168" s="144"/>
      <c r="AL168" s="144"/>
      <c r="AM168" s="144"/>
      <c r="AN168" s="144"/>
      <c r="AO168" s="148">
        <v>21</v>
      </c>
      <c r="AP168" s="196">
        <f t="shared" si="56"/>
        <v>8.1433056649519985E-26</v>
      </c>
      <c r="AQ168" s="186">
        <f>SUM(AP$147:AP168)</f>
        <v>1.0279762834600266</v>
      </c>
      <c r="AR168" s="184">
        <f t="shared" si="54"/>
        <v>48.442241102738372</v>
      </c>
      <c r="AS168" s="144"/>
      <c r="AT168" s="144"/>
      <c r="AU168" s="144"/>
      <c r="AV168" s="144"/>
      <c r="AW168" s="180"/>
      <c r="AX168" s="135"/>
      <c r="AY168" s="135"/>
      <c r="AZ168" s="135"/>
      <c r="BA168" s="135"/>
      <c r="BB168" s="135"/>
      <c r="BC168" s="135"/>
      <c r="BD168" s="135"/>
      <c r="BE168" s="135"/>
      <c r="BF168" s="135"/>
      <c r="BG168" s="135"/>
      <c r="BH168" s="135"/>
      <c r="BI168" s="135"/>
      <c r="BJ168" s="135"/>
      <c r="BK168" s="135"/>
      <c r="BL168" s="135"/>
    </row>
    <row r="169" spans="1:64">
      <c r="A169" s="135"/>
      <c r="B169" s="135"/>
      <c r="C169" s="135"/>
      <c r="D169" s="135"/>
      <c r="E169" s="198">
        <v>43</v>
      </c>
      <c r="F169" s="199">
        <f t="shared" si="50"/>
        <v>42</v>
      </c>
      <c r="G169" s="199">
        <f t="shared" si="51"/>
        <v>84</v>
      </c>
      <c r="H169" s="201">
        <f t="shared" si="52"/>
        <v>9.4534646244397037E-48</v>
      </c>
      <c r="I169" s="201"/>
      <c r="J169" s="237">
        <f>SUM(H$126:H169)</f>
        <v>1.0279762834600266</v>
      </c>
      <c r="K169" s="177"/>
      <c r="L169" s="175">
        <f t="shared" si="53"/>
        <v>48.442241102738372</v>
      </c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44"/>
      <c r="AE169" s="144"/>
      <c r="AF169" s="172"/>
      <c r="AG169" s="172"/>
      <c r="AH169" s="144"/>
      <c r="AI169" s="144"/>
      <c r="AJ169" s="144"/>
      <c r="AK169" s="144"/>
      <c r="AL169" s="144"/>
      <c r="AM169" s="144"/>
      <c r="AN169" s="144"/>
      <c r="AO169" s="148">
        <v>22</v>
      </c>
      <c r="AP169" s="196">
        <f t="shared" si="56"/>
        <v>7.8563457431039417E-27</v>
      </c>
      <c r="AQ169" s="186">
        <f>SUM(AP$147:AP169)</f>
        <v>1.0279762834600266</v>
      </c>
      <c r="AR169" s="184">
        <f t="shared" si="54"/>
        <v>48.442241102738372</v>
      </c>
      <c r="AS169" s="144"/>
      <c r="AT169" s="144"/>
      <c r="AU169" s="144"/>
      <c r="AV169" s="144"/>
      <c r="AW169" s="180"/>
      <c r="AX169" s="135"/>
      <c r="AY169" s="135"/>
      <c r="AZ169" s="135"/>
      <c r="BA169" s="135"/>
      <c r="BB169" s="135"/>
      <c r="BC169" s="135"/>
      <c r="BD169" s="135"/>
      <c r="BE169" s="135"/>
      <c r="BF169" s="135"/>
      <c r="BG169" s="135"/>
      <c r="BH169" s="135"/>
      <c r="BI169" s="135"/>
      <c r="BJ169" s="135"/>
      <c r="BK169" s="135"/>
      <c r="BL169" s="135"/>
    </row>
    <row r="170" spans="1:64">
      <c r="A170" s="135"/>
      <c r="B170" s="135"/>
      <c r="C170" s="135"/>
      <c r="D170" s="135"/>
      <c r="E170" s="198">
        <v>44</v>
      </c>
      <c r="F170" s="199">
        <f t="shared" si="50"/>
        <v>43</v>
      </c>
      <c r="G170" s="199">
        <f t="shared" si="51"/>
        <v>86</v>
      </c>
      <c r="H170" s="201">
        <f t="shared" si="52"/>
        <v>9.7998854900678468E-49</v>
      </c>
      <c r="I170" s="201"/>
      <c r="J170" s="237">
        <f>SUM(H$126:H170)</f>
        <v>1.0279762834600266</v>
      </c>
      <c r="K170" s="177"/>
      <c r="L170" s="175">
        <f t="shared" si="53"/>
        <v>48.442241102738372</v>
      </c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44"/>
      <c r="AE170" s="144"/>
      <c r="AF170" s="172"/>
      <c r="AG170" s="172"/>
      <c r="AH170" s="144"/>
      <c r="AI170" s="144"/>
      <c r="AJ170" s="144"/>
      <c r="AK170" s="144"/>
      <c r="AL170" s="144"/>
      <c r="AM170" s="144"/>
      <c r="AN170" s="144"/>
      <c r="AO170" s="148">
        <v>23</v>
      </c>
      <c r="AP170" s="196">
        <f t="shared" si="56"/>
        <v>7.6278005035702517E-28</v>
      </c>
      <c r="AQ170" s="186">
        <f>SUM(AP$147:AP170)</f>
        <v>1.0279762834600266</v>
      </c>
      <c r="AR170" s="184">
        <f t="shared" si="54"/>
        <v>48.442241102738372</v>
      </c>
      <c r="AS170" s="144"/>
      <c r="AT170" s="144"/>
      <c r="AU170" s="144"/>
      <c r="AV170" s="144"/>
      <c r="AW170" s="180"/>
      <c r="AX170" s="135"/>
      <c r="AY170" s="135"/>
      <c r="AZ170" s="135"/>
      <c r="BA170" s="135"/>
      <c r="BB170" s="135"/>
      <c r="BC170" s="135"/>
      <c r="BD170" s="135"/>
      <c r="BE170" s="135"/>
      <c r="BF170" s="135"/>
      <c r="BG170" s="135"/>
      <c r="BH170" s="135"/>
      <c r="BI170" s="135"/>
      <c r="BJ170" s="135"/>
      <c r="BK170" s="135"/>
      <c r="BL170" s="135"/>
    </row>
    <row r="171" spans="1:64">
      <c r="A171" s="135"/>
      <c r="B171" s="135"/>
      <c r="C171" s="135"/>
      <c r="D171" s="135"/>
      <c r="E171" s="198">
        <v>45</v>
      </c>
      <c r="F171" s="199">
        <f t="shared" si="50"/>
        <v>44</v>
      </c>
      <c r="G171" s="199">
        <f t="shared" si="51"/>
        <v>88</v>
      </c>
      <c r="H171" s="201">
        <f t="shared" si="52"/>
        <v>1.0174942835984009E-49</v>
      </c>
      <c r="I171" s="201"/>
      <c r="J171" s="237">
        <f>SUM(H$126:H171)</f>
        <v>1.0279762834600266</v>
      </c>
      <c r="K171" s="177"/>
      <c r="L171" s="175">
        <f t="shared" si="53"/>
        <v>48.442241102738372</v>
      </c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  <c r="AB171" s="135"/>
      <c r="AC171" s="135"/>
      <c r="AD171" s="144"/>
      <c r="AE171" s="144"/>
      <c r="AF171" s="172"/>
      <c r="AG171" s="172"/>
      <c r="AH171" s="144"/>
      <c r="AI171" s="144"/>
      <c r="AJ171" s="144"/>
      <c r="AK171" s="144"/>
      <c r="AL171" s="144"/>
      <c r="AM171" s="144"/>
      <c r="AN171" s="144"/>
      <c r="AO171" s="148">
        <v>24</v>
      </c>
      <c r="AP171" s="196">
        <f t="shared" si="56"/>
        <v>7.4490239292678199E-29</v>
      </c>
      <c r="AQ171" s="186">
        <f>SUM(AP$147:AP171)</f>
        <v>1.0279762834600266</v>
      </c>
      <c r="AR171" s="184">
        <f t="shared" si="54"/>
        <v>48.442241102738372</v>
      </c>
      <c r="AS171" s="144"/>
      <c r="AT171" s="144"/>
      <c r="AU171" s="144"/>
      <c r="AV171" s="144"/>
      <c r="AW171" s="180"/>
      <c r="AX171" s="135"/>
      <c r="AY171" s="135"/>
      <c r="AZ171" s="135"/>
      <c r="BA171" s="135"/>
      <c r="BB171" s="135"/>
      <c r="BC171" s="135"/>
      <c r="BD171" s="135"/>
      <c r="BE171" s="135"/>
      <c r="BF171" s="135"/>
      <c r="BG171" s="135"/>
      <c r="BH171" s="135"/>
      <c r="BI171" s="135"/>
      <c r="BJ171" s="135"/>
      <c r="BK171" s="135"/>
      <c r="BL171" s="135"/>
    </row>
    <row r="172" spans="1:64">
      <c r="A172" s="135"/>
      <c r="B172" s="135"/>
      <c r="C172" s="135"/>
      <c r="D172" s="135"/>
      <c r="E172" s="198">
        <v>46</v>
      </c>
      <c r="F172" s="199">
        <f t="shared" si="50"/>
        <v>45</v>
      </c>
      <c r="G172" s="199">
        <f t="shared" si="51"/>
        <v>90</v>
      </c>
      <c r="H172" s="201">
        <f t="shared" si="52"/>
        <v>1.0580198777020229E-50</v>
      </c>
      <c r="I172" s="201"/>
      <c r="J172" s="237">
        <f>SUM(H$126:H172)</f>
        <v>1.0279762834600266</v>
      </c>
      <c r="K172" s="177"/>
      <c r="L172" s="175">
        <f t="shared" si="53"/>
        <v>48.442241102738372</v>
      </c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  <c r="AD172" s="144"/>
      <c r="AE172" s="144"/>
      <c r="AF172" s="172"/>
      <c r="AG172" s="172"/>
      <c r="AH172" s="144"/>
      <c r="AI172" s="144"/>
      <c r="AJ172" s="144"/>
      <c r="AK172" s="144"/>
      <c r="AL172" s="144"/>
      <c r="AM172" s="144"/>
      <c r="AN172" s="144"/>
      <c r="AO172" s="148">
        <v>25</v>
      </c>
      <c r="AP172" s="196">
        <f t="shared" si="56"/>
        <v>7.313286159890049E-30</v>
      </c>
      <c r="AQ172" s="186">
        <f>SUM(AP$147:AP172)</f>
        <v>1.0279762834600266</v>
      </c>
      <c r="AR172" s="184">
        <f t="shared" si="54"/>
        <v>48.442241102738372</v>
      </c>
      <c r="AS172" s="144"/>
      <c r="AT172" s="144"/>
      <c r="AU172" s="144"/>
      <c r="AV172" s="144"/>
      <c r="AW172" s="180"/>
      <c r="AX172" s="135"/>
      <c r="AY172" s="135"/>
      <c r="AZ172" s="135"/>
      <c r="BA172" s="135"/>
      <c r="BB172" s="135"/>
      <c r="BC172" s="135"/>
      <c r="BD172" s="135"/>
      <c r="BE172" s="135"/>
      <c r="BF172" s="135"/>
      <c r="BG172" s="135"/>
      <c r="BH172" s="135"/>
      <c r="BI172" s="135"/>
      <c r="BJ172" s="135"/>
      <c r="BK172" s="135"/>
      <c r="BL172" s="135"/>
    </row>
    <row r="173" spans="1:64">
      <c r="A173" s="135"/>
      <c r="B173" s="135"/>
      <c r="C173" s="135"/>
      <c r="D173" s="135"/>
      <c r="E173" s="198">
        <v>47</v>
      </c>
      <c r="F173" s="199">
        <f t="shared" si="50"/>
        <v>46</v>
      </c>
      <c r="G173" s="199">
        <f t="shared" si="51"/>
        <v>92</v>
      </c>
      <c r="H173" s="201">
        <f t="shared" si="52"/>
        <v>1.1017381680059428E-51</v>
      </c>
      <c r="I173" s="201"/>
      <c r="J173" s="237">
        <f>SUM(H$126:H173)</f>
        <v>1.0279762834600266</v>
      </c>
      <c r="K173" s="177"/>
      <c r="L173" s="175">
        <f t="shared" si="53"/>
        <v>48.442241102738372</v>
      </c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44"/>
      <c r="AE173" s="144"/>
      <c r="AF173" s="172"/>
      <c r="AG173" s="172"/>
      <c r="AH173" s="144"/>
      <c r="AI173" s="144"/>
      <c r="AJ173" s="144"/>
      <c r="AK173" s="144"/>
      <c r="AL173" s="144"/>
      <c r="AM173" s="144"/>
      <c r="AN173" s="144"/>
      <c r="AO173" s="148">
        <v>26</v>
      </c>
      <c r="AP173" s="196">
        <f t="shared" si="56"/>
        <v>7.2153188978862625E-31</v>
      </c>
      <c r="AQ173" s="186">
        <f>SUM(AP$147:AP173)</f>
        <v>1.0279762834600266</v>
      </c>
      <c r="AR173" s="184">
        <f t="shared" si="54"/>
        <v>48.442241102738372</v>
      </c>
      <c r="AS173" s="144"/>
      <c r="AT173" s="144"/>
      <c r="AU173" s="144"/>
      <c r="AV173" s="144"/>
      <c r="AW173" s="180"/>
      <c r="AX173" s="135"/>
      <c r="AY173" s="135"/>
      <c r="AZ173" s="135"/>
      <c r="BA173" s="135"/>
      <c r="BB173" s="135"/>
      <c r="BC173" s="135"/>
      <c r="BD173" s="135"/>
      <c r="BE173" s="135"/>
      <c r="BF173" s="135"/>
      <c r="BG173" s="135"/>
      <c r="BH173" s="135"/>
      <c r="BI173" s="135"/>
      <c r="BJ173" s="135"/>
      <c r="BK173" s="135"/>
      <c r="BL173" s="135"/>
    </row>
    <row r="174" spans="1:64">
      <c r="A174" s="135"/>
      <c r="B174" s="135"/>
      <c r="C174" s="135"/>
      <c r="D174" s="135"/>
      <c r="E174" s="198">
        <v>48</v>
      </c>
      <c r="F174" s="199">
        <f t="shared" si="50"/>
        <v>47</v>
      </c>
      <c r="G174" s="199">
        <f t="shared" si="51"/>
        <v>94</v>
      </c>
      <c r="H174" s="201">
        <f t="shared" si="52"/>
        <v>1.1488393874280714E-52</v>
      </c>
      <c r="I174" s="201"/>
      <c r="J174" s="237">
        <f>SUM(H$126:H174)</f>
        <v>1.0279762834600266</v>
      </c>
      <c r="K174" s="177"/>
      <c r="L174" s="175">
        <f t="shared" si="53"/>
        <v>48.442241102738372</v>
      </c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44"/>
      <c r="AE174" s="144"/>
      <c r="AF174" s="172"/>
      <c r="AG174" s="172"/>
      <c r="AH174" s="144"/>
      <c r="AI174" s="144"/>
      <c r="AJ174" s="144"/>
      <c r="AK174" s="144"/>
      <c r="AL174" s="144"/>
      <c r="AM174" s="144"/>
      <c r="AN174" s="144"/>
      <c r="AO174" s="148">
        <v>27</v>
      </c>
      <c r="AP174" s="196">
        <f t="shared" si="56"/>
        <v>7.1509847787693117E-32</v>
      </c>
      <c r="AQ174" s="186">
        <f>SUM(AP$147:AP174)</f>
        <v>1.0279762834600266</v>
      </c>
      <c r="AR174" s="184">
        <f t="shared" si="54"/>
        <v>48.442241102738372</v>
      </c>
      <c r="AS174" s="144"/>
      <c r="AT174" s="144"/>
      <c r="AU174" s="144"/>
      <c r="AV174" s="144"/>
      <c r="AW174" s="180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5"/>
      <c r="BH174" s="135"/>
      <c r="BI174" s="135"/>
      <c r="BJ174" s="135"/>
      <c r="BK174" s="135"/>
      <c r="BL174" s="135"/>
    </row>
    <row r="175" spans="1:64">
      <c r="A175" s="135"/>
      <c r="B175" s="135"/>
      <c r="C175" s="135"/>
      <c r="D175" s="135"/>
      <c r="E175" s="198">
        <v>49</v>
      </c>
      <c r="F175" s="199">
        <f t="shared" si="50"/>
        <v>48</v>
      </c>
      <c r="G175" s="199">
        <f t="shared" si="51"/>
        <v>96</v>
      </c>
      <c r="H175" s="201">
        <f t="shared" si="52"/>
        <v>1.1995320782472974E-53</v>
      </c>
      <c r="I175" s="201"/>
      <c r="J175" s="237">
        <f>SUM(H$126:H175)</f>
        <v>1.0279762834600266</v>
      </c>
      <c r="K175" s="177"/>
      <c r="L175" s="175">
        <f t="shared" si="53"/>
        <v>48.442241102738372</v>
      </c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44"/>
      <c r="AE175" s="144"/>
      <c r="AF175" s="172"/>
      <c r="AG175" s="172"/>
      <c r="AH175" s="144"/>
      <c r="AI175" s="144"/>
      <c r="AJ175" s="144"/>
      <c r="AK175" s="144"/>
      <c r="AL175" s="144"/>
      <c r="AM175" s="144"/>
      <c r="AN175" s="144"/>
      <c r="AO175" s="148">
        <v>28</v>
      </c>
      <c r="AP175" s="196">
        <f t="shared" si="56"/>
        <v>7.117033816455136E-33</v>
      </c>
      <c r="AQ175" s="186">
        <f>SUM(AP$147:AP175)</f>
        <v>1.0279762834600266</v>
      </c>
      <c r="AR175" s="184">
        <f t="shared" si="54"/>
        <v>48.442241102738372</v>
      </c>
      <c r="AS175" s="144"/>
      <c r="AT175" s="144"/>
      <c r="AU175" s="144"/>
      <c r="AV175" s="144"/>
      <c r="AW175" s="180"/>
      <c r="AX175" s="135"/>
      <c r="AY175" s="135"/>
      <c r="AZ175" s="135"/>
      <c r="BA175" s="135"/>
      <c r="BB175" s="135"/>
      <c r="BC175" s="135"/>
      <c r="BD175" s="135"/>
      <c r="BE175" s="135"/>
      <c r="BF175" s="135"/>
      <c r="BG175" s="135"/>
      <c r="BH175" s="135"/>
      <c r="BI175" s="135"/>
      <c r="BJ175" s="135"/>
      <c r="BK175" s="135"/>
      <c r="BL175" s="135"/>
    </row>
    <row r="176" spans="1:64">
      <c r="A176" s="135"/>
      <c r="B176" s="135"/>
      <c r="C176" s="135"/>
      <c r="D176" s="135"/>
      <c r="E176" s="198">
        <v>50</v>
      </c>
      <c r="F176" s="199">
        <f t="shared" si="50"/>
        <v>49</v>
      </c>
      <c r="G176" s="199">
        <f t="shared" si="51"/>
        <v>98</v>
      </c>
      <c r="H176" s="201">
        <f t="shared" si="52"/>
        <v>1.2540441471365365E-54</v>
      </c>
      <c r="I176" s="201"/>
      <c r="J176" s="237">
        <f>SUM(H$126:H176)</f>
        <v>1.0279762834600266</v>
      </c>
      <c r="K176" s="177"/>
      <c r="L176" s="175">
        <f t="shared" si="53"/>
        <v>48.442241102738372</v>
      </c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44"/>
      <c r="AE176" s="144"/>
      <c r="AF176" s="172"/>
      <c r="AG176" s="172"/>
      <c r="AH176" s="144"/>
      <c r="AI176" s="144"/>
      <c r="AJ176" s="144"/>
      <c r="AK176" s="144"/>
      <c r="AL176" s="144"/>
      <c r="AM176" s="144"/>
      <c r="AN176" s="144"/>
      <c r="AO176" s="148">
        <v>29</v>
      </c>
      <c r="AP176" s="196">
        <f t="shared" si="56"/>
        <v>7.1109219496554335E-34</v>
      </c>
      <c r="AQ176" s="186">
        <f>SUM(AP$147:AP176)</f>
        <v>1.0279762834600266</v>
      </c>
      <c r="AR176" s="184">
        <f t="shared" si="54"/>
        <v>48.442241102738372</v>
      </c>
      <c r="AS176" s="144"/>
      <c r="AT176" s="144"/>
      <c r="AU176" s="144"/>
      <c r="AV176" s="144"/>
      <c r="AW176" s="180"/>
      <c r="AX176" s="135"/>
      <c r="AY176" s="135"/>
      <c r="AZ176" s="135"/>
      <c r="BA176" s="135"/>
      <c r="BB176" s="135"/>
      <c r="BC176" s="135"/>
      <c r="BD176" s="135"/>
      <c r="BE176" s="135"/>
      <c r="BF176" s="135"/>
      <c r="BG176" s="135"/>
      <c r="BH176" s="135"/>
      <c r="BI176" s="135"/>
      <c r="BJ176" s="135"/>
      <c r="BK176" s="135"/>
      <c r="BL176" s="135"/>
    </row>
    <row r="177" spans="1:64">
      <c r="A177" s="135"/>
      <c r="B177" s="135"/>
      <c r="C177" s="135"/>
      <c r="D177" s="135"/>
      <c r="E177" s="198">
        <v>51</v>
      </c>
      <c r="F177" s="199">
        <f t="shared" si="50"/>
        <v>50</v>
      </c>
      <c r="G177" s="199">
        <f t="shared" si="51"/>
        <v>100</v>
      </c>
      <c r="H177" s="201">
        <f t="shared" si="52"/>
        <v>1.3126240640443017E-55</v>
      </c>
      <c r="I177" s="201"/>
      <c r="J177" s="237">
        <f>SUM(H$126:H177)</f>
        <v>1.0279762834600266</v>
      </c>
      <c r="K177" s="177"/>
      <c r="L177" s="175">
        <f t="shared" si="53"/>
        <v>48.442241102738372</v>
      </c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44"/>
      <c r="AE177" s="144"/>
      <c r="AF177" s="172"/>
      <c r="AG177" s="172"/>
      <c r="AH177" s="144"/>
      <c r="AI177" s="144"/>
      <c r="AJ177" s="144"/>
      <c r="AK177" s="144"/>
      <c r="AL177" s="144"/>
      <c r="AM177" s="144"/>
      <c r="AN177" s="144"/>
      <c r="AO177" s="148">
        <v>30</v>
      </c>
      <c r="AP177" s="196">
        <f t="shared" si="56"/>
        <v>7.1306745106267017E-35</v>
      </c>
      <c r="AQ177" s="186">
        <f>SUM(AP$147:AP177)</f>
        <v>1.0279762834600266</v>
      </c>
      <c r="AR177" s="184">
        <f t="shared" si="54"/>
        <v>48.442241102738372</v>
      </c>
      <c r="AS177" s="144"/>
      <c r="AT177" s="144"/>
      <c r="AU177" s="144"/>
      <c r="AV177" s="144"/>
      <c r="AW177" s="180"/>
      <c r="AX177" s="135"/>
      <c r="AY177" s="135"/>
      <c r="AZ177" s="135"/>
      <c r="BA177" s="135"/>
      <c r="BB177" s="135"/>
      <c r="BC177" s="135"/>
      <c r="BD177" s="135"/>
      <c r="BE177" s="135"/>
      <c r="BF177" s="135"/>
      <c r="BG177" s="135"/>
      <c r="BH177" s="135"/>
      <c r="BI177" s="135"/>
      <c r="BJ177" s="135"/>
      <c r="BK177" s="135"/>
      <c r="BL177" s="135"/>
    </row>
    <row r="178" spans="1:64">
      <c r="A178" s="135"/>
      <c r="B178" s="135"/>
      <c r="C178" s="135"/>
      <c r="D178" s="135"/>
      <c r="E178" s="198">
        <v>52</v>
      </c>
      <c r="F178" s="199">
        <f t="shared" si="50"/>
        <v>51</v>
      </c>
      <c r="G178" s="199">
        <f t="shared" si="51"/>
        <v>102</v>
      </c>
      <c r="H178" s="201">
        <f t="shared" si="52"/>
        <v>1.3755422087972449E-56</v>
      </c>
      <c r="I178" s="201"/>
      <c r="J178" s="237">
        <f>SUM(H$126:H178)</f>
        <v>1.0279762834600266</v>
      </c>
      <c r="K178" s="177"/>
      <c r="L178" s="175">
        <f t="shared" si="53"/>
        <v>48.442241102738372</v>
      </c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  <c r="AD178" s="144"/>
      <c r="AE178" s="144"/>
      <c r="AF178" s="172"/>
      <c r="AG178" s="172"/>
      <c r="AH178" s="144"/>
      <c r="AI178" s="144"/>
      <c r="AJ178" s="144"/>
      <c r="AK178" s="144"/>
      <c r="AL178" s="144"/>
      <c r="AM178" s="144"/>
      <c r="AN178" s="144"/>
      <c r="AO178" s="148">
        <v>31</v>
      </c>
      <c r="AP178" s="196">
        <f t="shared" si="56"/>
        <v>7.1747826255901056E-36</v>
      </c>
      <c r="AQ178" s="186">
        <f>SUM(AP$147:AP178)</f>
        <v>1.0279762834600266</v>
      </c>
      <c r="AR178" s="184">
        <f t="shared" si="54"/>
        <v>48.442241102738372</v>
      </c>
      <c r="AS178" s="144"/>
      <c r="AT178" s="144"/>
      <c r="AU178" s="144"/>
      <c r="AV178" s="144"/>
      <c r="AW178" s="180"/>
      <c r="AX178" s="135"/>
      <c r="AY178" s="135"/>
      <c r="AZ178" s="135"/>
      <c r="BA178" s="135"/>
      <c r="BB178" s="135"/>
      <c r="BC178" s="135"/>
      <c r="BD178" s="135"/>
      <c r="BE178" s="135"/>
      <c r="BF178" s="135"/>
      <c r="BG178" s="135"/>
      <c r="BH178" s="135"/>
      <c r="BI178" s="135"/>
      <c r="BJ178" s="135"/>
      <c r="BK178" s="135"/>
      <c r="BL178" s="135"/>
    </row>
    <row r="179" spans="1:64">
      <c r="A179" s="135"/>
      <c r="B179" s="135"/>
      <c r="C179" s="135"/>
      <c r="D179" s="135"/>
      <c r="E179" s="198">
        <v>53</v>
      </c>
      <c r="F179" s="199">
        <f t="shared" si="50"/>
        <v>52</v>
      </c>
      <c r="G179" s="199">
        <f t="shared" si="51"/>
        <v>104</v>
      </c>
      <c r="H179" s="201">
        <f t="shared" si="52"/>
        <v>1.4430923710622585E-57</v>
      </c>
      <c r="I179" s="201"/>
      <c r="J179" s="237">
        <f>SUM(H$126:H179)</f>
        <v>1.0279762834600266</v>
      </c>
      <c r="K179" s="177"/>
      <c r="L179" s="175">
        <f t="shared" si="53"/>
        <v>48.442241102738372</v>
      </c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44"/>
      <c r="AE179" s="144"/>
      <c r="AF179" s="172"/>
      <c r="AG179" s="172"/>
      <c r="AH179" s="144"/>
      <c r="AI179" s="144"/>
      <c r="AJ179" s="144"/>
      <c r="AK179" s="144"/>
      <c r="AL179" s="144"/>
      <c r="AM179" s="144"/>
      <c r="AN179" s="144"/>
      <c r="AO179" s="148">
        <v>32</v>
      </c>
      <c r="AP179" s="196">
        <f t="shared" si="56"/>
        <v>7.2421240640789884E-37</v>
      </c>
      <c r="AQ179" s="186">
        <f>SUM(AP$147:AP179)</f>
        <v>1.0279762834600266</v>
      </c>
      <c r="AR179" s="184">
        <f t="shared" si="54"/>
        <v>48.442241102738372</v>
      </c>
      <c r="AS179" s="144"/>
      <c r="AT179" s="144"/>
      <c r="AU179" s="144"/>
      <c r="AV179" s="144"/>
      <c r="AW179" s="180"/>
      <c r="AX179" s="135"/>
      <c r="AY179" s="135"/>
      <c r="AZ179" s="135"/>
      <c r="BA179" s="135"/>
      <c r="BB179" s="135"/>
      <c r="BC179" s="135"/>
      <c r="BD179" s="135"/>
      <c r="BE179" s="135"/>
      <c r="BF179" s="135"/>
      <c r="BG179" s="135"/>
      <c r="BH179" s="135"/>
      <c r="BI179" s="135"/>
      <c r="BJ179" s="135"/>
      <c r="BK179" s="135"/>
      <c r="BL179" s="135"/>
    </row>
    <row r="180" spans="1:64">
      <c r="A180" s="135"/>
      <c r="B180" s="135"/>
      <c r="C180" s="135"/>
      <c r="D180" s="135"/>
      <c r="E180" s="198">
        <v>54</v>
      </c>
      <c r="F180" s="199">
        <f t="shared" si="50"/>
        <v>53</v>
      </c>
      <c r="G180" s="199">
        <f t="shared" si="51"/>
        <v>106</v>
      </c>
      <c r="H180" s="201">
        <f t="shared" si="52"/>
        <v>1.5155934109664511E-58</v>
      </c>
      <c r="I180" s="201"/>
      <c r="J180" s="237">
        <f>SUM(H$126:H180)</f>
        <v>1.0279762834600266</v>
      </c>
      <c r="K180" s="177"/>
      <c r="L180" s="175">
        <f t="shared" si="53"/>
        <v>48.442241102738372</v>
      </c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  <c r="AD180" s="144"/>
      <c r="AE180" s="144"/>
      <c r="AF180" s="172"/>
      <c r="AG180" s="172"/>
      <c r="AH180" s="144"/>
      <c r="AI180" s="144"/>
      <c r="AJ180" s="144"/>
      <c r="AK180" s="144"/>
      <c r="AL180" s="144"/>
      <c r="AM180" s="144"/>
      <c r="AN180" s="144"/>
      <c r="AO180" s="148">
        <v>33</v>
      </c>
      <c r="AP180" s="196">
        <f t="shared" si="56"/>
        <v>7.3319024615675633E-38</v>
      </c>
      <c r="AQ180" s="186">
        <f>SUM(AP$147:AP180)</f>
        <v>1.0279762834600266</v>
      </c>
      <c r="AR180" s="184">
        <f t="shared" si="54"/>
        <v>48.442241102738372</v>
      </c>
      <c r="AS180" s="144"/>
      <c r="AT180" s="144"/>
      <c r="AU180" s="144"/>
      <c r="AV180" s="144"/>
      <c r="AW180" s="180"/>
      <c r="AX180" s="135"/>
      <c r="AY180" s="135"/>
      <c r="AZ180" s="135"/>
      <c r="BA180" s="135"/>
      <c r="BB180" s="135"/>
      <c r="BC180" s="135"/>
      <c r="BD180" s="135"/>
      <c r="BE180" s="135"/>
      <c r="BF180" s="135"/>
      <c r="BG180" s="135"/>
      <c r="BH180" s="135"/>
      <c r="BI180" s="135"/>
      <c r="BJ180" s="135"/>
      <c r="BK180" s="135"/>
      <c r="BL180" s="135"/>
    </row>
    <row r="181" spans="1:64">
      <c r="A181" s="135"/>
      <c r="B181" s="135"/>
      <c r="C181" s="135"/>
      <c r="D181" s="135"/>
      <c r="E181" s="198">
        <v>55</v>
      </c>
      <c r="F181" s="199">
        <f t="shared" si="50"/>
        <v>54</v>
      </c>
      <c r="G181" s="199">
        <f t="shared" si="51"/>
        <v>108</v>
      </c>
      <c r="H181" s="201">
        <f t="shared" si="52"/>
        <v>1.5933910892704234E-59</v>
      </c>
      <c r="I181" s="201"/>
      <c r="J181" s="237">
        <f>SUM(H$126:H181)</f>
        <v>1.0279762834600266</v>
      </c>
      <c r="K181" s="177"/>
      <c r="L181" s="175">
        <f t="shared" si="53"/>
        <v>48.442241102738372</v>
      </c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  <c r="AD181" s="144"/>
      <c r="AE181" s="144"/>
      <c r="AF181" s="172"/>
      <c r="AG181" s="172"/>
      <c r="AH181" s="144"/>
      <c r="AI181" s="144"/>
      <c r="AJ181" s="144"/>
      <c r="AK181" s="144"/>
      <c r="AL181" s="144"/>
      <c r="AM181" s="144"/>
      <c r="AN181" s="144"/>
      <c r="AO181" s="148">
        <v>34</v>
      </c>
      <c r="AP181" s="196">
        <f t="shared" si="56"/>
        <v>7.443600514254856E-39</v>
      </c>
      <c r="AQ181" s="186">
        <f>SUM(AP$147:AP181)</f>
        <v>1.0279762834600266</v>
      </c>
      <c r="AR181" s="184">
        <f t="shared" si="54"/>
        <v>48.442241102738372</v>
      </c>
      <c r="AS181" s="144"/>
      <c r="AT181" s="144"/>
      <c r="AU181" s="144"/>
      <c r="AV181" s="144"/>
      <c r="AW181" s="180"/>
      <c r="AX181" s="135"/>
      <c r="AY181" s="135"/>
      <c r="AZ181" s="135"/>
      <c r="BA181" s="135"/>
      <c r="BB181" s="135"/>
      <c r="BC181" s="135"/>
      <c r="BD181" s="135"/>
      <c r="BE181" s="135"/>
      <c r="BF181" s="135"/>
      <c r="BG181" s="135"/>
      <c r="BH181" s="135"/>
      <c r="BI181" s="135"/>
      <c r="BJ181" s="135"/>
      <c r="BK181" s="135"/>
      <c r="BL181" s="135"/>
    </row>
    <row r="182" spans="1:64">
      <c r="A182" s="135"/>
      <c r="B182" s="135"/>
      <c r="C182" s="135"/>
      <c r="D182" s="135"/>
      <c r="E182" s="198">
        <v>56</v>
      </c>
      <c r="F182" s="199">
        <f t="shared" si="50"/>
        <v>55</v>
      </c>
      <c r="G182" s="199">
        <f t="shared" si="51"/>
        <v>110</v>
      </c>
      <c r="H182" s="201">
        <f t="shared" si="52"/>
        <v>1.6768600775600445E-60</v>
      </c>
      <c r="I182" s="201"/>
      <c r="J182" s="237">
        <f>SUM(H$126:H182)</f>
        <v>1.0279762834600266</v>
      </c>
      <c r="K182" s="177"/>
      <c r="L182" s="175">
        <f t="shared" si="53"/>
        <v>48.442241102738372</v>
      </c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  <c r="AD182" s="144"/>
      <c r="AE182" s="144"/>
      <c r="AF182" s="172"/>
      <c r="AG182" s="172"/>
      <c r="AH182" s="144"/>
      <c r="AI182" s="144"/>
      <c r="AJ182" s="144"/>
      <c r="AK182" s="144"/>
      <c r="AL182" s="144"/>
      <c r="AM182" s="144"/>
      <c r="AN182" s="144"/>
      <c r="AO182" s="148">
        <v>35</v>
      </c>
      <c r="AP182" s="196">
        <f t="shared" si="56"/>
        <v>7.5769439248276727E-40</v>
      </c>
      <c r="AQ182" s="186">
        <f>SUM(AP$147:AP182)</f>
        <v>1.0279762834600266</v>
      </c>
      <c r="AR182" s="184">
        <f t="shared" si="54"/>
        <v>48.442241102738372</v>
      </c>
      <c r="AS182" s="144"/>
      <c r="AT182" s="144"/>
      <c r="AU182" s="144"/>
      <c r="AV182" s="144"/>
      <c r="AW182" s="180"/>
      <c r="AX182" s="135"/>
      <c r="AY182" s="135"/>
      <c r="AZ182" s="135"/>
      <c r="BA182" s="135"/>
      <c r="BB182" s="135"/>
      <c r="BC182" s="135"/>
      <c r="BD182" s="135"/>
      <c r="BE182" s="135"/>
      <c r="BF182" s="135"/>
      <c r="BG182" s="135"/>
      <c r="BH182" s="135"/>
      <c r="BI182" s="135"/>
      <c r="BJ182" s="135"/>
      <c r="BK182" s="135"/>
      <c r="BL182" s="135"/>
    </row>
    <row r="183" spans="1:64">
      <c r="A183" s="135"/>
      <c r="B183" s="135"/>
      <c r="C183" s="135"/>
      <c r="D183" s="135"/>
      <c r="E183" s="198">
        <v>57</v>
      </c>
      <c r="F183" s="199">
        <f t="shared" si="50"/>
        <v>56</v>
      </c>
      <c r="G183" s="199">
        <f t="shared" si="51"/>
        <v>112</v>
      </c>
      <c r="H183" s="201">
        <f t="shared" si="52"/>
        <v>1.7664061604953061E-61</v>
      </c>
      <c r="I183" s="201"/>
      <c r="J183" s="237">
        <f>SUM(H$126:H183)</f>
        <v>1.0279762834600266</v>
      </c>
      <c r="K183" s="177"/>
      <c r="L183" s="175">
        <f t="shared" si="53"/>
        <v>48.442241102738372</v>
      </c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  <c r="AB183" s="135"/>
      <c r="AC183" s="135"/>
      <c r="AD183" s="144"/>
      <c r="AE183" s="144"/>
      <c r="AF183" s="144"/>
      <c r="AG183" s="144"/>
      <c r="AH183" s="144"/>
      <c r="AI183" s="144"/>
      <c r="AJ183" s="144"/>
      <c r="AK183" s="144"/>
      <c r="AL183" s="144"/>
      <c r="AM183" s="144"/>
      <c r="AN183" s="144"/>
      <c r="AO183" s="148">
        <v>36</v>
      </c>
      <c r="AP183" s="196">
        <f t="shared" si="56"/>
        <v>7.7318737195868755E-41</v>
      </c>
      <c r="AQ183" s="186">
        <f>SUM(AP$147:AP183)</f>
        <v>1.0279762834600266</v>
      </c>
      <c r="AR183" s="184">
        <f t="shared" si="54"/>
        <v>48.442241102738372</v>
      </c>
      <c r="AS183" s="144"/>
      <c r="AT183" s="144"/>
      <c r="AU183" s="144"/>
      <c r="AV183" s="144"/>
      <c r="AW183" s="180"/>
      <c r="AX183" s="135"/>
      <c r="AY183" s="135"/>
      <c r="AZ183" s="135"/>
      <c r="BA183" s="135"/>
      <c r="BB183" s="135"/>
      <c r="BC183" s="135"/>
      <c r="BD183" s="135"/>
      <c r="BE183" s="135"/>
      <c r="BF183" s="135"/>
      <c r="BG183" s="135"/>
      <c r="BH183" s="135"/>
      <c r="BI183" s="135"/>
      <c r="BJ183" s="135"/>
      <c r="BK183" s="135"/>
      <c r="BL183" s="135"/>
    </row>
    <row r="184" spans="1:64">
      <c r="A184" s="135"/>
      <c r="B184" s="135"/>
      <c r="C184" s="135"/>
      <c r="D184" s="135"/>
      <c r="E184" s="198">
        <v>58</v>
      </c>
      <c r="F184" s="199">
        <f t="shared" si="50"/>
        <v>57</v>
      </c>
      <c r="G184" s="199">
        <f t="shared" si="51"/>
        <v>114</v>
      </c>
      <c r="H184" s="201">
        <f t="shared" si="52"/>
        <v>1.8624686437578022E-62</v>
      </c>
      <c r="I184" s="201"/>
      <c r="J184" s="237">
        <f>SUM(H$126:H184)</f>
        <v>1.0279762834600266</v>
      </c>
      <c r="K184" s="177"/>
      <c r="L184" s="175">
        <f t="shared" si="53"/>
        <v>48.442241102738372</v>
      </c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  <c r="AB184" s="135"/>
      <c r="AC184" s="135"/>
      <c r="AD184" s="144"/>
      <c r="AE184" s="144"/>
      <c r="AF184" s="144"/>
      <c r="AG184" s="144"/>
      <c r="AH184" s="144"/>
      <c r="AI184" s="144"/>
      <c r="AJ184" s="144"/>
      <c r="AK184" s="144"/>
      <c r="AL184" s="144"/>
      <c r="AM184" s="144"/>
      <c r="AN184" s="144"/>
      <c r="AO184" s="148">
        <v>37</v>
      </c>
      <c r="AP184" s="196">
        <f t="shared" si="56"/>
        <v>7.9085251644423057E-42</v>
      </c>
      <c r="AQ184" s="186">
        <f>SUM(AP$147:AP184)</f>
        <v>1.0279762834600266</v>
      </c>
      <c r="AR184" s="184">
        <f t="shared" si="54"/>
        <v>48.442241102738372</v>
      </c>
      <c r="AS184" s="144"/>
      <c r="AT184" s="144"/>
      <c r="AU184" s="144"/>
      <c r="AV184" s="144"/>
      <c r="AW184" s="180"/>
      <c r="AX184" s="135"/>
      <c r="AY184" s="135"/>
      <c r="AZ184" s="135"/>
      <c r="BA184" s="135"/>
      <c r="BB184" s="135"/>
      <c r="BC184" s="135"/>
      <c r="BD184" s="135"/>
      <c r="BE184" s="135"/>
      <c r="BF184" s="135"/>
      <c r="BG184" s="135"/>
      <c r="BH184" s="135"/>
      <c r="BI184" s="135"/>
      <c r="BJ184" s="135"/>
      <c r="BK184" s="135"/>
      <c r="BL184" s="135"/>
    </row>
    <row r="185" spans="1:64">
      <c r="A185" s="135"/>
      <c r="B185" s="135"/>
      <c r="C185" s="135"/>
      <c r="D185" s="135"/>
      <c r="E185" s="198">
        <v>59</v>
      </c>
      <c r="F185" s="199">
        <f t="shared" si="50"/>
        <v>58</v>
      </c>
      <c r="G185" s="199">
        <f t="shared" si="51"/>
        <v>116</v>
      </c>
      <c r="H185" s="201">
        <f t="shared" si="52"/>
        <v>1.9655229829947488E-63</v>
      </c>
      <c r="I185" s="201"/>
      <c r="J185" s="237">
        <f>SUM(H$126:H185)</f>
        <v>1.0279762834600266</v>
      </c>
      <c r="K185" s="177"/>
      <c r="L185" s="175">
        <f t="shared" si="53"/>
        <v>48.442241102738372</v>
      </c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44"/>
      <c r="AE185" s="144"/>
      <c r="AF185" s="144"/>
      <c r="AG185" s="144"/>
      <c r="AH185" s="144"/>
      <c r="AI185" s="144"/>
      <c r="AJ185" s="144"/>
      <c r="AK185" s="144"/>
      <c r="AL185" s="144"/>
      <c r="AM185" s="144"/>
      <c r="AN185" s="144"/>
      <c r="AO185" s="148">
        <v>38</v>
      </c>
      <c r="AP185" s="196">
        <f t="shared" si="56"/>
        <v>8.1072119500833082E-43</v>
      </c>
      <c r="AQ185" s="186">
        <f>SUM(AP$147:AP185)</f>
        <v>1.0279762834600266</v>
      </c>
      <c r="AR185" s="184">
        <f t="shared" si="54"/>
        <v>48.442241102738372</v>
      </c>
      <c r="AS185" s="144"/>
      <c r="AT185" s="144"/>
      <c r="AU185" s="144"/>
      <c r="AV185" s="144"/>
      <c r="AW185" s="180"/>
      <c r="AX185" s="135"/>
      <c r="AY185" s="135"/>
      <c r="AZ185" s="135"/>
      <c r="BA185" s="135"/>
      <c r="BB185" s="135"/>
      <c r="BC185" s="135"/>
      <c r="BD185" s="135"/>
      <c r="BE185" s="135"/>
      <c r="BF185" s="135"/>
      <c r="BG185" s="135"/>
      <c r="BH185" s="135"/>
      <c r="BI185" s="135"/>
      <c r="BJ185" s="135"/>
      <c r="BK185" s="135"/>
      <c r="BL185" s="135"/>
    </row>
    <row r="186" spans="1:64">
      <c r="A186" s="135"/>
      <c r="B186" s="135"/>
      <c r="C186" s="135"/>
      <c r="D186" s="135"/>
      <c r="E186" s="198">
        <v>60</v>
      </c>
      <c r="F186" s="199">
        <f t="shared" si="50"/>
        <v>59</v>
      </c>
      <c r="G186" s="199">
        <f t="shared" si="51"/>
        <v>118</v>
      </c>
      <c r="H186" s="201">
        <f t="shared" si="52"/>
        <v>2.0760836507882022E-64</v>
      </c>
      <c r="I186" s="201"/>
      <c r="J186" s="237">
        <f>SUM(H$126:H186)</f>
        <v>1.0279762834600266</v>
      </c>
      <c r="K186" s="177"/>
      <c r="L186" s="175">
        <f t="shared" si="53"/>
        <v>48.442241102738372</v>
      </c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35"/>
      <c r="AD186" s="144"/>
      <c r="AE186" s="144"/>
      <c r="AF186" s="144"/>
      <c r="AG186" s="144"/>
      <c r="AH186" s="144"/>
      <c r="AI186" s="144"/>
      <c r="AJ186" s="144"/>
      <c r="AK186" s="144"/>
      <c r="AL186" s="144"/>
      <c r="AM186" s="144"/>
      <c r="AN186" s="144"/>
      <c r="AO186" s="148">
        <v>39</v>
      </c>
      <c r="AP186" s="196">
        <f t="shared" si="56"/>
        <v>8.3284146430014229E-44</v>
      </c>
      <c r="AQ186" s="186">
        <f>SUM(AP$147:AP186)</f>
        <v>1.0279762834600266</v>
      </c>
      <c r="AR186" s="184">
        <f t="shared" si="54"/>
        <v>48.442241102738372</v>
      </c>
      <c r="AS186" s="144"/>
      <c r="AT186" s="144"/>
      <c r="AU186" s="144"/>
      <c r="AV186" s="144"/>
      <c r="AW186" s="180"/>
      <c r="AX186" s="135"/>
      <c r="AY186" s="135"/>
      <c r="AZ186" s="135"/>
      <c r="BA186" s="135"/>
      <c r="BB186" s="135"/>
      <c r="BC186" s="135"/>
      <c r="BD186" s="135"/>
      <c r="BE186" s="135"/>
      <c r="BF186" s="135"/>
      <c r="BG186" s="135"/>
      <c r="BH186" s="135"/>
      <c r="BI186" s="135"/>
      <c r="BJ186" s="135"/>
      <c r="BK186" s="135"/>
      <c r="BL186" s="135"/>
    </row>
    <row r="187" spans="1:64">
      <c r="A187" s="135"/>
      <c r="B187" s="135"/>
      <c r="C187" s="135"/>
      <c r="D187" s="135"/>
      <c r="E187" s="198">
        <v>61</v>
      </c>
      <c r="F187" s="199">
        <f t="shared" si="50"/>
        <v>60</v>
      </c>
      <c r="G187" s="199">
        <f t="shared" si="51"/>
        <v>120</v>
      </c>
      <c r="H187" s="201">
        <f t="shared" si="52"/>
        <v>2.1947072605043307E-65</v>
      </c>
      <c r="I187" s="201"/>
      <c r="J187" s="237">
        <f>SUM(H$126:H187)</f>
        <v>1.0279762834600266</v>
      </c>
      <c r="K187" s="177"/>
      <c r="L187" s="175">
        <f t="shared" si="53"/>
        <v>48.442241102738372</v>
      </c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  <c r="AN187" s="144"/>
      <c r="AO187" s="148">
        <v>40</v>
      </c>
      <c r="AP187" s="196">
        <f t="shared" si="56"/>
        <v>8.5727726420755804E-45</v>
      </c>
      <c r="AQ187" s="186">
        <f>SUM(AP$147:AP187)</f>
        <v>1.0279762834600266</v>
      </c>
      <c r="AR187" s="184">
        <f t="shared" si="54"/>
        <v>48.442241102738372</v>
      </c>
      <c r="AS187" s="144"/>
      <c r="AT187" s="144"/>
      <c r="AU187" s="144"/>
      <c r="AV187" s="144"/>
      <c r="AW187" s="180"/>
      <c r="AX187" s="135"/>
      <c r="AY187" s="135"/>
      <c r="AZ187" s="135"/>
      <c r="BA187" s="135"/>
      <c r="BB187" s="135"/>
      <c r="BC187" s="135"/>
      <c r="BD187" s="135"/>
      <c r="BE187" s="135"/>
      <c r="BF187" s="135"/>
      <c r="BG187" s="135"/>
      <c r="BH187" s="135"/>
      <c r="BI187" s="135"/>
      <c r="BJ187" s="135"/>
      <c r="BK187" s="135"/>
      <c r="BL187" s="135"/>
    </row>
    <row r="188" spans="1:64">
      <c r="A188" s="135"/>
      <c r="B188" s="135"/>
      <c r="C188" s="135"/>
      <c r="D188" s="135"/>
      <c r="E188" s="198">
        <v>62</v>
      </c>
      <c r="F188" s="199">
        <f t="shared" si="50"/>
        <v>61</v>
      </c>
      <c r="G188" s="199">
        <f t="shared" si="51"/>
        <v>122</v>
      </c>
      <c r="H188" s="201">
        <f t="shared" si="52"/>
        <v>2.3219959678173661E-66</v>
      </c>
      <c r="I188" s="201"/>
      <c r="J188" s="237">
        <f>SUM(H$126:H188)</f>
        <v>1.0279762834600266</v>
      </c>
      <c r="K188" s="177"/>
      <c r="L188" s="175">
        <f t="shared" si="53"/>
        <v>48.442241102738372</v>
      </c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  <c r="AA188" s="135"/>
      <c r="AB188" s="135"/>
      <c r="AC188" s="135"/>
      <c r="AD188" s="144"/>
      <c r="AE188" s="144"/>
      <c r="AF188" s="144"/>
      <c r="AG188" s="144"/>
      <c r="AH188" s="144"/>
      <c r="AI188" s="144"/>
      <c r="AJ188" s="144"/>
      <c r="AK188" s="144"/>
      <c r="AL188" s="144"/>
      <c r="AM188" s="144"/>
      <c r="AN188" s="144"/>
      <c r="AO188" s="144"/>
      <c r="AP188" s="144"/>
      <c r="AQ188" s="144"/>
      <c r="AR188" s="144"/>
      <c r="AS188" s="144"/>
      <c r="AT188" s="144"/>
      <c r="AU188" s="144"/>
      <c r="AV188" s="144"/>
      <c r="AW188" s="180"/>
      <c r="AX188" s="135"/>
      <c r="AY188" s="135"/>
      <c r="AZ188" s="135"/>
      <c r="BA188" s="135"/>
      <c r="BB188" s="135"/>
      <c r="BC188" s="135"/>
      <c r="BD188" s="135"/>
      <c r="BE188" s="135"/>
      <c r="BF188" s="135"/>
      <c r="BG188" s="135"/>
      <c r="BH188" s="135"/>
      <c r="BI188" s="135"/>
      <c r="BJ188" s="135"/>
      <c r="BK188" s="135"/>
      <c r="BL188" s="135"/>
    </row>
    <row r="189" spans="1:64">
      <c r="A189" s="135"/>
      <c r="B189" s="135"/>
      <c r="C189" s="135"/>
      <c r="D189" s="135"/>
      <c r="E189" s="198">
        <v>63</v>
      </c>
      <c r="F189" s="199">
        <f t="shared" si="50"/>
        <v>62</v>
      </c>
      <c r="G189" s="199">
        <f t="shared" si="51"/>
        <v>124</v>
      </c>
      <c r="H189" s="201">
        <f t="shared" si="52"/>
        <v>2.4586011727771421E-67</v>
      </c>
      <c r="I189" s="201"/>
      <c r="J189" s="237">
        <f>SUM(H$126:H189)</f>
        <v>1.0279762834600266</v>
      </c>
      <c r="K189" s="177"/>
      <c r="L189" s="175">
        <f t="shared" si="53"/>
        <v>48.442241102738372</v>
      </c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  <c r="AB189" s="135"/>
      <c r="AC189" s="135"/>
      <c r="AD189" s="144"/>
      <c r="AE189" s="144"/>
      <c r="AF189" s="144"/>
      <c r="AG189" s="144"/>
      <c r="AH189" s="144"/>
      <c r="AI189" s="144"/>
      <c r="AJ189" s="144"/>
      <c r="AK189" s="144"/>
      <c r="AL189" s="144"/>
      <c r="AM189" s="144"/>
      <c r="AN189" s="144"/>
      <c r="AO189" s="190" t="s">
        <v>7</v>
      </c>
      <c r="AP189" s="151">
        <f>SUM(AP147:AP187)</f>
        <v>1.0279762834600266</v>
      </c>
      <c r="AQ189" s="191" t="s">
        <v>61</v>
      </c>
      <c r="AR189" s="192">
        <f>PI()*($C$13+$C$18)*AP189</f>
        <v>48.442241102738372</v>
      </c>
      <c r="AS189" s="144"/>
      <c r="AT189" s="144"/>
      <c r="AU189" s="144"/>
      <c r="AV189" s="144"/>
      <c r="AW189" s="180"/>
      <c r="AX189" s="135"/>
      <c r="AY189" s="135"/>
      <c r="AZ189" s="135"/>
      <c r="BA189" s="135"/>
      <c r="BB189" s="135"/>
      <c r="BC189" s="135"/>
      <c r="BD189" s="135"/>
      <c r="BE189" s="135"/>
      <c r="BF189" s="135"/>
      <c r="BG189" s="135"/>
      <c r="BH189" s="135"/>
      <c r="BI189" s="135"/>
      <c r="BJ189" s="135"/>
      <c r="BK189" s="135"/>
      <c r="BL189" s="135"/>
    </row>
    <row r="190" spans="1:64">
      <c r="A190" s="135"/>
      <c r="B190" s="135"/>
      <c r="C190" s="135"/>
      <c r="D190" s="135"/>
      <c r="E190" s="198">
        <v>64</v>
      </c>
      <c r="F190" s="199">
        <f t="shared" si="50"/>
        <v>63</v>
      </c>
      <c r="G190" s="199">
        <f t="shared" si="51"/>
        <v>126</v>
      </c>
      <c r="H190" s="201">
        <f t="shared" si="52"/>
        <v>2.6052275475153873E-68</v>
      </c>
      <c r="I190" s="201"/>
      <c r="J190" s="237">
        <f>SUM(H$126:H190)</f>
        <v>1.0279762834600266</v>
      </c>
      <c r="K190" s="177"/>
      <c r="L190" s="175">
        <f t="shared" si="53"/>
        <v>48.442241102738372</v>
      </c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80"/>
      <c r="AN190" s="180"/>
      <c r="AO190" s="180"/>
      <c r="AP190" s="180"/>
      <c r="AQ190" s="180"/>
      <c r="AR190" s="180"/>
      <c r="AS190" s="180"/>
      <c r="AT190" s="180"/>
      <c r="AU190" s="180"/>
      <c r="AV190" s="180"/>
      <c r="AW190" s="180"/>
      <c r="AX190" s="135"/>
      <c r="AY190" s="135"/>
      <c r="AZ190" s="135"/>
      <c r="BA190" s="135"/>
      <c r="BB190" s="135"/>
      <c r="BC190" s="135"/>
      <c r="BD190" s="135"/>
      <c r="BE190" s="135"/>
      <c r="BF190" s="135"/>
      <c r="BG190" s="135"/>
      <c r="BH190" s="135"/>
      <c r="BI190" s="135"/>
      <c r="BJ190" s="135"/>
      <c r="BK190" s="135"/>
      <c r="BL190" s="135"/>
    </row>
    <row r="191" spans="1:64">
      <c r="A191" s="135"/>
      <c r="B191" s="135"/>
      <c r="C191" s="135"/>
      <c r="D191" s="135"/>
      <c r="E191" s="198">
        <v>65</v>
      </c>
      <c r="F191" s="199">
        <f t="shared" si="50"/>
        <v>64</v>
      </c>
      <c r="G191" s="199">
        <f t="shared" si="51"/>
        <v>128</v>
      </c>
      <c r="H191" s="201">
        <f t="shared" si="52"/>
        <v>2.7626374170858455E-69</v>
      </c>
      <c r="I191" s="201"/>
      <c r="J191" s="237">
        <f>SUM(H$126:H191)</f>
        <v>1.0279762834600266</v>
      </c>
      <c r="K191" s="177"/>
      <c r="L191" s="175">
        <f t="shared" si="53"/>
        <v>48.442241102738372</v>
      </c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180"/>
      <c r="AN191" s="180"/>
      <c r="AO191" s="180"/>
      <c r="AP191" s="180"/>
      <c r="AQ191" s="180"/>
      <c r="AR191" s="180"/>
      <c r="AS191" s="180"/>
      <c r="AT191" s="180"/>
      <c r="AU191" s="180"/>
      <c r="AV191" s="180"/>
      <c r="AW191" s="180"/>
      <c r="AX191" s="135"/>
      <c r="AY191" s="135"/>
      <c r="AZ191" s="135"/>
      <c r="BA191" s="135"/>
      <c r="BB191" s="135"/>
      <c r="BC191" s="135"/>
      <c r="BD191" s="135"/>
      <c r="BE191" s="135"/>
      <c r="BF191" s="135"/>
      <c r="BG191" s="135"/>
      <c r="BH191" s="135"/>
      <c r="BI191" s="135"/>
      <c r="BJ191" s="135"/>
      <c r="BK191" s="135"/>
      <c r="BL191" s="135"/>
    </row>
    <row r="192" spans="1:64">
      <c r="A192" s="135"/>
      <c r="B192" s="135"/>
      <c r="C192" s="135"/>
      <c r="D192" s="135"/>
      <c r="E192" s="198">
        <v>66</v>
      </c>
      <c r="F192" s="199">
        <f t="shared" ref="F192:F211" si="57">E192-1</f>
        <v>65</v>
      </c>
      <c r="G192" s="199">
        <f t="shared" ref="G192:G211" si="58">(2*E192-2)</f>
        <v>130</v>
      </c>
      <c r="H192" s="201">
        <f t="shared" ref="H192:H211" si="59">((FACT(G192)/(FACT(E192)*FACT(F192)*2^(2*E192-1)))^2)*C$32^(E192)</f>
        <v>2.9316555235260055E-70</v>
      </c>
      <c r="I192" s="201"/>
      <c r="J192" s="237">
        <f>SUM(H$126:H192)</f>
        <v>1.0279762834600266</v>
      </c>
      <c r="K192" s="177"/>
      <c r="L192" s="175">
        <f t="shared" ref="L192:L211" si="60">PI()*($C$13+$C$18)*J192</f>
        <v>48.442241102738372</v>
      </c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5"/>
      <c r="AF192" s="135"/>
      <c r="AG192" s="135"/>
      <c r="AH192" s="135"/>
      <c r="AI192" s="135"/>
      <c r="AJ192" s="135"/>
      <c r="AK192" s="135"/>
      <c r="AL192" s="135"/>
      <c r="AM192" s="180"/>
      <c r="AN192" s="180"/>
      <c r="AO192" s="180"/>
      <c r="AP192" s="180"/>
      <c r="AQ192" s="180"/>
      <c r="AR192" s="180"/>
      <c r="AS192" s="180"/>
      <c r="AT192" s="180"/>
      <c r="AU192" s="180"/>
      <c r="AV192" s="180"/>
      <c r="AW192" s="180"/>
      <c r="AX192" s="135"/>
      <c r="AY192" s="135"/>
      <c r="AZ192" s="135"/>
      <c r="BA192" s="135"/>
      <c r="BB192" s="135"/>
      <c r="BC192" s="135"/>
      <c r="BD192" s="135"/>
      <c r="BE192" s="135"/>
      <c r="BF192" s="135"/>
      <c r="BG192" s="135"/>
      <c r="BH192" s="135"/>
      <c r="BI192" s="135"/>
      <c r="BJ192" s="135"/>
      <c r="BK192" s="135"/>
      <c r="BL192" s="135"/>
    </row>
    <row r="193" spans="1:64">
      <c r="A193" s="135"/>
      <c r="B193" s="135"/>
      <c r="C193" s="135"/>
      <c r="D193" s="135"/>
      <c r="E193" s="198">
        <v>67</v>
      </c>
      <c r="F193" s="199">
        <f t="shared" si="57"/>
        <v>66</v>
      </c>
      <c r="G193" s="199">
        <f t="shared" si="58"/>
        <v>132</v>
      </c>
      <c r="H193" s="201">
        <f t="shared" si="59"/>
        <v>3.1131742060363413E-71</v>
      </c>
      <c r="I193" s="201"/>
      <c r="J193" s="237">
        <f>SUM(H$126:H193)</f>
        <v>1.0279762834600266</v>
      </c>
      <c r="K193" s="177"/>
      <c r="L193" s="175">
        <f t="shared" si="60"/>
        <v>48.442241102738372</v>
      </c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AA193" s="135"/>
      <c r="AB193" s="135"/>
      <c r="AC193" s="135"/>
      <c r="AD193" s="135"/>
      <c r="AE193" s="135"/>
      <c r="AF193" s="135"/>
      <c r="AG193" s="135"/>
      <c r="AH193" s="135"/>
      <c r="AI193" s="135"/>
      <c r="AJ193" s="135"/>
      <c r="AK193" s="135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  <c r="AV193" s="135"/>
      <c r="AW193" s="135"/>
      <c r="AX193" s="135"/>
      <c r="AY193" s="135"/>
      <c r="AZ193" s="135"/>
      <c r="BA193" s="135"/>
      <c r="BB193" s="135"/>
      <c r="BC193" s="135"/>
      <c r="BD193" s="135"/>
      <c r="BE193" s="135"/>
      <c r="BF193" s="135"/>
      <c r="BG193" s="135"/>
      <c r="BH193" s="135"/>
      <c r="BI193" s="135"/>
      <c r="BJ193" s="135"/>
      <c r="BK193" s="135"/>
      <c r="BL193" s="135"/>
    </row>
    <row r="194" spans="1:64">
      <c r="A194" s="135"/>
      <c r="B194" s="135"/>
      <c r="C194" s="135"/>
      <c r="D194" s="135"/>
      <c r="E194" s="198">
        <v>68</v>
      </c>
      <c r="F194" s="199">
        <f t="shared" si="57"/>
        <v>67</v>
      </c>
      <c r="G194" s="199">
        <f t="shared" si="58"/>
        <v>134</v>
      </c>
      <c r="H194" s="201">
        <f t="shared" si="59"/>
        <v>3.3081590332190142E-72</v>
      </c>
      <c r="I194" s="201"/>
      <c r="J194" s="237">
        <f>SUM(H$126:H194)</f>
        <v>1.0279762834600266</v>
      </c>
      <c r="K194" s="177"/>
      <c r="L194" s="175">
        <f t="shared" si="60"/>
        <v>48.442241102738372</v>
      </c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  <c r="AA194" s="135"/>
      <c r="AB194" s="135"/>
      <c r="AC194" s="135"/>
      <c r="AD194" s="135"/>
      <c r="AE194" s="135"/>
      <c r="AF194" s="135"/>
      <c r="AG194" s="135"/>
      <c r="AH194" s="135"/>
      <c r="AI194" s="135"/>
      <c r="AJ194" s="135"/>
      <c r="AK194" s="135"/>
      <c r="AL194" s="135"/>
      <c r="AM194" s="135"/>
      <c r="AN194" s="135"/>
      <c r="AO194" s="135"/>
      <c r="AP194" s="135"/>
      <c r="AQ194" s="135"/>
      <c r="AR194" s="135"/>
      <c r="AS194" s="135"/>
      <c r="AT194" s="135"/>
      <c r="AU194" s="135"/>
      <c r="AV194" s="135"/>
      <c r="AW194" s="135"/>
      <c r="AX194" s="135"/>
      <c r="AY194" s="135"/>
      <c r="AZ194" s="135"/>
      <c r="BA194" s="135"/>
      <c r="BB194" s="135"/>
      <c r="BC194" s="135"/>
      <c r="BD194" s="135"/>
      <c r="BE194" s="135"/>
      <c r="BF194" s="135"/>
      <c r="BG194" s="135"/>
      <c r="BH194" s="135"/>
      <c r="BI194" s="135"/>
      <c r="BJ194" s="135"/>
      <c r="BK194" s="135"/>
      <c r="BL194" s="135"/>
    </row>
    <row r="195" spans="1:64">
      <c r="A195" s="135"/>
      <c r="B195" s="135"/>
      <c r="C195" s="135"/>
      <c r="D195" s="135"/>
      <c r="E195" s="198">
        <v>69</v>
      </c>
      <c r="F195" s="199">
        <f t="shared" si="57"/>
        <v>68</v>
      </c>
      <c r="G195" s="199">
        <f t="shared" si="58"/>
        <v>136</v>
      </c>
      <c r="H195" s="201">
        <f t="shared" si="59"/>
        <v>3.5176549266270253E-73</v>
      </c>
      <c r="I195" s="201"/>
      <c r="J195" s="237">
        <f>SUM(H$126:H195)</f>
        <v>1.0279762834600266</v>
      </c>
      <c r="K195" s="177"/>
      <c r="L195" s="175">
        <f t="shared" si="60"/>
        <v>48.442241102738372</v>
      </c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  <c r="AA195" s="135"/>
      <c r="AB195" s="135"/>
      <c r="AC195" s="135"/>
      <c r="AD195" s="135"/>
      <c r="AE195" s="135"/>
      <c r="AF195" s="135"/>
      <c r="AG195" s="135"/>
      <c r="AH195" s="135"/>
      <c r="AI195" s="135"/>
      <c r="AJ195" s="135"/>
      <c r="AK195" s="135"/>
      <c r="AL195" s="135"/>
      <c r="AM195" s="135"/>
      <c r="AN195" s="135"/>
      <c r="AO195" s="135"/>
      <c r="AP195" s="135"/>
      <c r="AQ195" s="135"/>
      <c r="AR195" s="135"/>
      <c r="AS195" s="135"/>
      <c r="AT195" s="135"/>
      <c r="AU195" s="135"/>
      <c r="AV195" s="135"/>
      <c r="AW195" s="135"/>
      <c r="AX195" s="135"/>
      <c r="AY195" s="135"/>
      <c r="AZ195" s="135"/>
      <c r="BA195" s="135"/>
      <c r="BB195" s="135"/>
      <c r="BC195" s="135"/>
      <c r="BD195" s="135"/>
      <c r="BE195" s="135"/>
      <c r="BF195" s="135"/>
      <c r="BG195" s="135"/>
      <c r="BH195" s="135"/>
      <c r="BI195" s="135"/>
      <c r="BJ195" s="135"/>
      <c r="BK195" s="135"/>
      <c r="BL195" s="135"/>
    </row>
    <row r="196" spans="1:64">
      <c r="A196" s="135"/>
      <c r="B196" s="135"/>
      <c r="C196" s="135"/>
      <c r="D196" s="135"/>
      <c r="E196" s="198">
        <v>70</v>
      </c>
      <c r="F196" s="199">
        <f t="shared" si="57"/>
        <v>69</v>
      </c>
      <c r="G196" s="199">
        <f t="shared" si="58"/>
        <v>138</v>
      </c>
      <c r="H196" s="201">
        <f t="shared" si="59"/>
        <v>3.7427928184729296E-74</v>
      </c>
      <c r="I196" s="201"/>
      <c r="J196" s="237">
        <f>SUM(H$126:H196)</f>
        <v>1.0279762834600266</v>
      </c>
      <c r="K196" s="177"/>
      <c r="L196" s="175">
        <f t="shared" si="60"/>
        <v>48.442241102738372</v>
      </c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  <c r="AB196" s="135"/>
      <c r="AC196" s="135"/>
      <c r="AD196" s="135"/>
      <c r="AE196" s="135"/>
      <c r="AF196" s="135"/>
      <c r="AG196" s="135"/>
      <c r="AH196" s="135"/>
      <c r="AI196" s="135"/>
      <c r="AJ196" s="135"/>
      <c r="AK196" s="135"/>
      <c r="AL196" s="135"/>
      <c r="AM196" s="135"/>
      <c r="AN196" s="135"/>
      <c r="AO196" s="135"/>
      <c r="AP196" s="135"/>
      <c r="AQ196" s="135"/>
      <c r="AR196" s="135"/>
      <c r="AS196" s="135"/>
      <c r="AT196" s="135"/>
      <c r="AU196" s="135"/>
      <c r="AV196" s="135"/>
      <c r="AW196" s="135"/>
      <c r="AX196" s="135"/>
      <c r="AY196" s="135"/>
      <c r="AZ196" s="135"/>
      <c r="BA196" s="135"/>
      <c r="BB196" s="135"/>
      <c r="BC196" s="135"/>
      <c r="BD196" s="135"/>
      <c r="BE196" s="135"/>
      <c r="BF196" s="135"/>
      <c r="BG196" s="135"/>
      <c r="BH196" s="135"/>
      <c r="BI196" s="135"/>
      <c r="BJ196" s="135"/>
      <c r="BK196" s="135"/>
      <c r="BL196" s="135"/>
    </row>
    <row r="197" spans="1:64">
      <c r="A197" s="135"/>
      <c r="B197" s="135"/>
      <c r="C197" s="135"/>
      <c r="D197" s="135"/>
      <c r="E197" s="198">
        <v>71</v>
      </c>
      <c r="F197" s="199">
        <f t="shared" si="57"/>
        <v>70</v>
      </c>
      <c r="G197" s="199">
        <f t="shared" si="58"/>
        <v>140</v>
      </c>
      <c r="H197" s="201">
        <f t="shared" si="59"/>
        <v>3.9847968902618266E-75</v>
      </c>
      <c r="I197" s="201"/>
      <c r="J197" s="237">
        <f>SUM(H$126:H197)</f>
        <v>1.0279762834600266</v>
      </c>
      <c r="K197" s="177"/>
      <c r="L197" s="175">
        <f t="shared" si="60"/>
        <v>48.442241102738372</v>
      </c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  <c r="AA197" s="135"/>
      <c r="AB197" s="135"/>
      <c r="AC197" s="135"/>
      <c r="AD197" s="135"/>
      <c r="AE197" s="135"/>
      <c r="AF197" s="135"/>
      <c r="AG197" s="135"/>
      <c r="AH197" s="135"/>
      <c r="AI197" s="135"/>
      <c r="AJ197" s="135"/>
      <c r="AK197" s="135"/>
      <c r="AL197" s="135"/>
      <c r="AM197" s="135"/>
      <c r="AN197" s="135"/>
      <c r="AO197" s="135"/>
      <c r="AP197" s="135"/>
      <c r="AQ197" s="135"/>
      <c r="AR197" s="135"/>
      <c r="AS197" s="135"/>
      <c r="AT197" s="135"/>
      <c r="AU197" s="135"/>
      <c r="AV197" s="135"/>
      <c r="AW197" s="135"/>
      <c r="AX197" s="135"/>
      <c r="AY197" s="135"/>
      <c r="AZ197" s="135"/>
      <c r="BA197" s="135"/>
      <c r="BB197" s="135"/>
      <c r="BC197" s="135"/>
      <c r="BD197" s="135"/>
      <c r="BE197" s="135"/>
      <c r="BF197" s="135"/>
      <c r="BG197" s="135"/>
      <c r="BH197" s="135"/>
      <c r="BI197" s="135"/>
      <c r="BJ197" s="135"/>
      <c r="BK197" s="135"/>
      <c r="BL197" s="135"/>
    </row>
    <row r="198" spans="1:64">
      <c r="A198" s="135"/>
      <c r="B198" s="135"/>
      <c r="C198" s="135"/>
      <c r="D198" s="135"/>
      <c r="E198" s="198">
        <v>72</v>
      </c>
      <c r="F198" s="199">
        <f t="shared" si="57"/>
        <v>71</v>
      </c>
      <c r="G198" s="199">
        <f t="shared" si="58"/>
        <v>142</v>
      </c>
      <c r="H198" s="201">
        <f t="shared" si="59"/>
        <v>4.2449924433778804E-76</v>
      </c>
      <c r="I198" s="201"/>
      <c r="J198" s="237">
        <f>SUM(H$126:H198)</f>
        <v>1.0279762834600266</v>
      </c>
      <c r="K198" s="177"/>
      <c r="L198" s="175">
        <f t="shared" si="60"/>
        <v>48.442241102738372</v>
      </c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AD198" s="135"/>
      <c r="AE198" s="135"/>
      <c r="AF198" s="135"/>
      <c r="AG198" s="135"/>
      <c r="AH198" s="135"/>
      <c r="AI198" s="135"/>
      <c r="AJ198" s="135"/>
      <c r="AK198" s="135"/>
      <c r="AL198" s="135"/>
      <c r="AM198" s="135"/>
      <c r="AN198" s="135"/>
      <c r="AO198" s="135"/>
      <c r="AP198" s="135"/>
      <c r="AQ198" s="135"/>
      <c r="AR198" s="135"/>
      <c r="AS198" s="135"/>
      <c r="AT198" s="135"/>
      <c r="AU198" s="135"/>
      <c r="AV198" s="135"/>
      <c r="AW198" s="135"/>
      <c r="AX198" s="135"/>
      <c r="AY198" s="135"/>
      <c r="AZ198" s="135"/>
      <c r="BA198" s="135"/>
      <c r="BB198" s="135"/>
      <c r="BC198" s="135"/>
      <c r="BD198" s="135"/>
      <c r="BE198" s="135"/>
      <c r="BF198" s="135"/>
      <c r="BG198" s="135"/>
      <c r="BH198" s="135"/>
      <c r="BI198" s="135"/>
      <c r="BJ198" s="135"/>
      <c r="BK198" s="135"/>
      <c r="BL198" s="135"/>
    </row>
    <row r="199" spans="1:64">
      <c r="A199" s="135"/>
      <c r="B199" s="135"/>
      <c r="C199" s="135"/>
      <c r="D199" s="135"/>
      <c r="E199" s="198">
        <v>73</v>
      </c>
      <c r="F199" s="199">
        <f t="shared" si="57"/>
        <v>72</v>
      </c>
      <c r="G199" s="199">
        <f t="shared" si="58"/>
        <v>144</v>
      </c>
      <c r="H199" s="201">
        <f t="shared" si="59"/>
        <v>4.5248144573004256E-77</v>
      </c>
      <c r="I199" s="201"/>
      <c r="J199" s="237">
        <f>SUM(H$126:H199)</f>
        <v>1.0279762834600266</v>
      </c>
      <c r="K199" s="177"/>
      <c r="L199" s="175">
        <f t="shared" si="60"/>
        <v>48.442241102738372</v>
      </c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AA199" s="135"/>
      <c r="AB199" s="135"/>
      <c r="AC199" s="135"/>
      <c r="AD199" s="135"/>
      <c r="AE199" s="135"/>
      <c r="AF199" s="135"/>
      <c r="AG199" s="135"/>
      <c r="AH199" s="135"/>
      <c r="AI199" s="135"/>
      <c r="AJ199" s="135"/>
      <c r="AK199" s="135"/>
      <c r="AL199" s="135"/>
      <c r="AM199" s="135"/>
      <c r="AN199" s="135"/>
      <c r="AO199" s="135"/>
      <c r="AP199" s="135"/>
      <c r="AQ199" s="135"/>
      <c r="AR199" s="135"/>
      <c r="AS199" s="135"/>
      <c r="AT199" s="135"/>
      <c r="AU199" s="135"/>
      <c r="AV199" s="135"/>
      <c r="AW199" s="135"/>
      <c r="AX199" s="135"/>
      <c r="AY199" s="135"/>
      <c r="AZ199" s="135"/>
      <c r="BA199" s="135"/>
      <c r="BB199" s="135"/>
      <c r="BC199" s="135"/>
      <c r="BD199" s="135"/>
      <c r="BE199" s="135"/>
      <c r="BF199" s="135"/>
      <c r="BG199" s="135"/>
      <c r="BH199" s="135"/>
      <c r="BI199" s="135"/>
      <c r="BJ199" s="135"/>
      <c r="BK199" s="135"/>
      <c r="BL199" s="135"/>
    </row>
    <row r="200" spans="1:64">
      <c r="A200" s="135"/>
      <c r="B200" s="135"/>
      <c r="C200" s="135"/>
      <c r="D200" s="135"/>
      <c r="E200" s="198">
        <v>74</v>
      </c>
      <c r="F200" s="199">
        <f t="shared" si="57"/>
        <v>73</v>
      </c>
      <c r="G200" s="199">
        <f t="shared" si="58"/>
        <v>146</v>
      </c>
      <c r="H200" s="201">
        <f t="shared" si="59"/>
        <v>4.8258168961905175E-78</v>
      </c>
      <c r="I200" s="201"/>
      <c r="J200" s="237">
        <f>SUM(H$126:H200)</f>
        <v>1.0279762834600266</v>
      </c>
      <c r="K200" s="177"/>
      <c r="L200" s="175">
        <f t="shared" si="60"/>
        <v>48.442241102738372</v>
      </c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  <c r="AN200" s="135"/>
      <c r="AO200" s="135"/>
      <c r="AP200" s="135"/>
      <c r="AQ200" s="135"/>
      <c r="AR200" s="135"/>
      <c r="AS200" s="135"/>
      <c r="AT200" s="135"/>
      <c r="AU200" s="135"/>
      <c r="AV200" s="135"/>
      <c r="AW200" s="135"/>
      <c r="AX200" s="135"/>
      <c r="AY200" s="135"/>
      <c r="AZ200" s="135"/>
      <c r="BA200" s="135"/>
      <c r="BB200" s="135"/>
      <c r="BC200" s="135"/>
      <c r="BD200" s="135"/>
      <c r="BE200" s="135"/>
      <c r="BF200" s="135"/>
      <c r="BG200" s="135"/>
      <c r="BH200" s="135"/>
      <c r="BI200" s="135"/>
      <c r="BJ200" s="135"/>
      <c r="BK200" s="135"/>
      <c r="BL200" s="135"/>
    </row>
    <row r="201" spans="1:64">
      <c r="A201" s="135"/>
      <c r="B201" s="135"/>
      <c r="C201" s="135"/>
      <c r="D201" s="135"/>
      <c r="E201" s="198">
        <v>75</v>
      </c>
      <c r="F201" s="199">
        <f t="shared" si="57"/>
        <v>74</v>
      </c>
      <c r="G201" s="199">
        <f t="shared" si="58"/>
        <v>148</v>
      </c>
      <c r="H201" s="201">
        <f t="shared" si="59"/>
        <v>5.1496828301126325E-79</v>
      </c>
      <c r="I201" s="201"/>
      <c r="J201" s="237">
        <f>SUM(H$126:H201)</f>
        <v>1.0279762834600266</v>
      </c>
      <c r="K201" s="177"/>
      <c r="L201" s="175">
        <f t="shared" si="60"/>
        <v>48.442241102738372</v>
      </c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  <c r="AA201" s="135"/>
      <c r="AB201" s="135"/>
      <c r="AC201" s="135"/>
      <c r="AD201" s="135"/>
      <c r="AE201" s="135"/>
      <c r="AF201" s="135"/>
      <c r="AG201" s="135"/>
      <c r="AH201" s="135"/>
      <c r="AI201" s="135"/>
      <c r="AJ201" s="135"/>
      <c r="AK201" s="135"/>
      <c r="AL201" s="135"/>
      <c r="AM201" s="135"/>
      <c r="AN201" s="135"/>
      <c r="AO201" s="135"/>
      <c r="AP201" s="135"/>
      <c r="AQ201" s="135"/>
      <c r="AR201" s="135"/>
      <c r="AS201" s="135"/>
      <c r="AT201" s="135"/>
      <c r="AU201" s="135"/>
      <c r="AV201" s="135"/>
      <c r="AW201" s="135"/>
      <c r="AX201" s="135"/>
      <c r="AY201" s="135"/>
      <c r="AZ201" s="135"/>
      <c r="BA201" s="135"/>
      <c r="BB201" s="135"/>
      <c r="BC201" s="135"/>
      <c r="BD201" s="135"/>
      <c r="BE201" s="135"/>
      <c r="BF201" s="135"/>
      <c r="BG201" s="135"/>
      <c r="BH201" s="135"/>
      <c r="BI201" s="135"/>
      <c r="BJ201" s="135"/>
      <c r="BK201" s="135"/>
      <c r="BL201" s="135"/>
    </row>
    <row r="202" spans="1:64">
      <c r="A202" s="135"/>
      <c r="B202" s="135"/>
      <c r="C202" s="135"/>
      <c r="D202" s="135"/>
      <c r="E202" s="198">
        <v>76</v>
      </c>
      <c r="F202" s="199">
        <f t="shared" si="57"/>
        <v>75</v>
      </c>
      <c r="G202" s="199">
        <f t="shared" si="58"/>
        <v>150</v>
      </c>
      <c r="H202" s="201">
        <f t="shared" si="59"/>
        <v>5.4982354431811129E-80</v>
      </c>
      <c r="I202" s="201"/>
      <c r="J202" s="237">
        <f>SUM(H$126:H202)</f>
        <v>1.0279762834600266</v>
      </c>
      <c r="K202" s="177"/>
      <c r="L202" s="175">
        <f t="shared" si="60"/>
        <v>48.442241102738372</v>
      </c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  <c r="AA202" s="135"/>
      <c r="AB202" s="135"/>
      <c r="AC202" s="135"/>
      <c r="AD202" s="135"/>
      <c r="AE202" s="135"/>
      <c r="AF202" s="135"/>
      <c r="AG202" s="135"/>
      <c r="AH202" s="135"/>
      <c r="AI202" s="135"/>
      <c r="AJ202" s="135"/>
      <c r="AK202" s="135"/>
      <c r="AL202" s="135"/>
      <c r="AM202" s="135"/>
      <c r="AN202" s="135"/>
      <c r="AO202" s="135"/>
      <c r="AP202" s="135"/>
      <c r="AQ202" s="135"/>
      <c r="AR202" s="135"/>
      <c r="AS202" s="135"/>
      <c r="AT202" s="135"/>
      <c r="AU202" s="135"/>
      <c r="AV202" s="135"/>
      <c r="AW202" s="135"/>
      <c r="AX202" s="135"/>
      <c r="AY202" s="135"/>
      <c r="AZ202" s="135"/>
      <c r="BA202" s="135"/>
      <c r="BB202" s="135"/>
      <c r="BC202" s="135"/>
      <c r="BD202" s="135"/>
      <c r="BE202" s="135"/>
      <c r="BF202" s="135"/>
      <c r="BG202" s="135"/>
      <c r="BH202" s="135"/>
      <c r="BI202" s="135"/>
      <c r="BJ202" s="135"/>
      <c r="BK202" s="135"/>
      <c r="BL202" s="135"/>
    </row>
    <row r="203" spans="1:64">
      <c r="A203" s="135"/>
      <c r="B203" s="135"/>
      <c r="C203" s="135"/>
      <c r="D203" s="135"/>
      <c r="E203" s="198">
        <v>77</v>
      </c>
      <c r="F203" s="199">
        <f t="shared" si="57"/>
        <v>76</v>
      </c>
      <c r="G203" s="199">
        <f t="shared" si="58"/>
        <v>152</v>
      </c>
      <c r="H203" s="201">
        <f t="shared" si="59"/>
        <v>5.8734500074948211E-81</v>
      </c>
      <c r="I203" s="201"/>
      <c r="J203" s="237">
        <f>SUM(H$126:H203)</f>
        <v>1.0279762834600266</v>
      </c>
      <c r="K203" s="177"/>
      <c r="L203" s="175">
        <f t="shared" si="60"/>
        <v>48.442241102738372</v>
      </c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  <c r="AA203" s="135"/>
      <c r="AB203" s="135"/>
      <c r="AC203" s="135"/>
      <c r="AD203" s="135"/>
      <c r="AE203" s="135"/>
      <c r="AF203" s="135"/>
      <c r="AG203" s="135"/>
      <c r="AH203" s="135"/>
      <c r="AI203" s="135"/>
      <c r="AJ203" s="135"/>
      <c r="AK203" s="135"/>
      <c r="AL203" s="135"/>
      <c r="AM203" s="135"/>
      <c r="AN203" s="135"/>
      <c r="AO203" s="135"/>
      <c r="AP203" s="135"/>
      <c r="AQ203" s="135"/>
      <c r="AR203" s="135"/>
      <c r="AS203" s="135"/>
      <c r="AT203" s="135"/>
      <c r="AU203" s="135"/>
      <c r="AV203" s="135"/>
      <c r="AW203" s="135"/>
      <c r="AX203" s="135"/>
      <c r="AY203" s="135"/>
      <c r="AZ203" s="135"/>
      <c r="BA203" s="135"/>
      <c r="BB203" s="135"/>
      <c r="BC203" s="135"/>
      <c r="BD203" s="135"/>
      <c r="BE203" s="135"/>
      <c r="BF203" s="135"/>
      <c r="BG203" s="135"/>
      <c r="BH203" s="135"/>
      <c r="BI203" s="135"/>
      <c r="BJ203" s="135"/>
      <c r="BK203" s="135"/>
      <c r="BL203" s="135"/>
    </row>
    <row r="204" spans="1:64">
      <c r="A204" s="135"/>
      <c r="B204" s="135"/>
      <c r="C204" s="135"/>
      <c r="D204" s="135"/>
      <c r="E204" s="198">
        <v>78</v>
      </c>
      <c r="F204" s="199">
        <f t="shared" si="57"/>
        <v>77</v>
      </c>
      <c r="G204" s="199">
        <f t="shared" si="58"/>
        <v>154</v>
      </c>
      <c r="H204" s="201">
        <f t="shared" si="59"/>
        <v>6.2774669088979477E-82</v>
      </c>
      <c r="I204" s="201"/>
      <c r="J204" s="237">
        <f>SUM(H$126:H204)</f>
        <v>1.0279762834600266</v>
      </c>
      <c r="K204" s="177"/>
      <c r="L204" s="175">
        <f t="shared" si="60"/>
        <v>48.442241102738372</v>
      </c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AA204" s="135"/>
      <c r="AB204" s="135"/>
      <c r="AC204" s="135"/>
      <c r="AD204" s="135"/>
      <c r="AE204" s="135"/>
      <c r="AF204" s="135"/>
      <c r="AG204" s="135"/>
      <c r="AH204" s="135"/>
      <c r="AI204" s="135"/>
      <c r="AJ204" s="135"/>
      <c r="AK204" s="135"/>
      <c r="AL204" s="135"/>
      <c r="AM204" s="135"/>
      <c r="AN204" s="135"/>
      <c r="AO204" s="135"/>
      <c r="AP204" s="135"/>
      <c r="AQ204" s="135"/>
      <c r="AR204" s="135"/>
      <c r="AS204" s="135"/>
      <c r="AT204" s="135"/>
      <c r="AU204" s="135"/>
      <c r="AV204" s="135"/>
      <c r="AW204" s="135"/>
      <c r="AX204" s="135"/>
      <c r="AY204" s="135"/>
      <c r="AZ204" s="135"/>
      <c r="BA204" s="135"/>
      <c r="BB204" s="135"/>
      <c r="BC204" s="135"/>
      <c r="BD204" s="135"/>
      <c r="BE204" s="135"/>
      <c r="BF204" s="135"/>
      <c r="BG204" s="135"/>
      <c r="BH204" s="135"/>
      <c r="BI204" s="135"/>
      <c r="BJ204" s="135"/>
      <c r="BK204" s="135"/>
      <c r="BL204" s="135"/>
    </row>
    <row r="205" spans="1:64">
      <c r="A205" s="135"/>
      <c r="B205" s="135"/>
      <c r="C205" s="135"/>
      <c r="D205" s="135"/>
      <c r="E205" s="198">
        <v>79</v>
      </c>
      <c r="F205" s="199">
        <f t="shared" si="57"/>
        <v>78</v>
      </c>
      <c r="G205" s="199">
        <f t="shared" si="58"/>
        <v>156</v>
      </c>
      <c r="H205" s="201">
        <f t="shared" si="59"/>
        <v>6.7126058184351218E-83</v>
      </c>
      <c r="I205" s="201"/>
      <c r="J205" s="237">
        <f>SUM(H$126:H205)</f>
        <v>1.0279762834600266</v>
      </c>
      <c r="K205" s="177"/>
      <c r="L205" s="175">
        <f t="shared" si="60"/>
        <v>48.442241102738372</v>
      </c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AA205" s="135"/>
      <c r="AB205" s="135"/>
      <c r="AC205" s="135"/>
      <c r="AD205" s="135"/>
      <c r="AE205" s="135"/>
      <c r="AF205" s="135"/>
      <c r="AG205" s="135"/>
      <c r="AH205" s="135"/>
      <c r="AI205" s="135"/>
      <c r="AJ205" s="135"/>
      <c r="AK205" s="135"/>
      <c r="AL205" s="135"/>
      <c r="AM205" s="135"/>
      <c r="AN205" s="135"/>
      <c r="AO205" s="135"/>
      <c r="AP205" s="135"/>
      <c r="AQ205" s="135"/>
      <c r="AR205" s="135"/>
      <c r="AS205" s="135"/>
      <c r="AT205" s="135"/>
      <c r="AU205" s="135"/>
      <c r="AV205" s="135"/>
      <c r="AW205" s="135"/>
      <c r="AX205" s="135"/>
      <c r="AY205" s="135"/>
      <c r="AZ205" s="135"/>
      <c r="BA205" s="135"/>
      <c r="BB205" s="135"/>
      <c r="BC205" s="135"/>
      <c r="BD205" s="135"/>
      <c r="BE205" s="135"/>
      <c r="BF205" s="135"/>
      <c r="BG205" s="135"/>
      <c r="BH205" s="135"/>
      <c r="BI205" s="135"/>
      <c r="BJ205" s="135"/>
      <c r="BK205" s="135"/>
      <c r="BL205" s="135"/>
    </row>
    <row r="206" spans="1:64">
      <c r="A206" s="135"/>
      <c r="B206" s="135"/>
      <c r="C206" s="135"/>
      <c r="D206" s="135"/>
      <c r="E206" s="198">
        <v>80</v>
      </c>
      <c r="F206" s="199">
        <f t="shared" si="57"/>
        <v>79</v>
      </c>
      <c r="G206" s="199">
        <f t="shared" si="58"/>
        <v>158</v>
      </c>
      <c r="H206" s="201">
        <f t="shared" si="59"/>
        <v>7.1813811119187189E-84</v>
      </c>
      <c r="I206" s="201"/>
      <c r="J206" s="237">
        <f>SUM(H$126:H206)</f>
        <v>1.0279762834600266</v>
      </c>
      <c r="K206" s="177"/>
      <c r="L206" s="175">
        <f t="shared" si="60"/>
        <v>48.442241102738372</v>
      </c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  <c r="AA206" s="135"/>
      <c r="AB206" s="135"/>
      <c r="AC206" s="135"/>
      <c r="AD206" s="135"/>
      <c r="AE206" s="135"/>
      <c r="AF206" s="135"/>
      <c r="AG206" s="135"/>
      <c r="AH206" s="135"/>
      <c r="AI206" s="135"/>
      <c r="AJ206" s="135"/>
      <c r="AK206" s="135"/>
      <c r="AL206" s="135"/>
      <c r="AM206" s="135"/>
      <c r="AN206" s="135"/>
      <c r="AO206" s="135"/>
      <c r="AP206" s="135"/>
      <c r="AQ206" s="135"/>
      <c r="AR206" s="135"/>
      <c r="AS206" s="135"/>
      <c r="AT206" s="135"/>
      <c r="AU206" s="135"/>
      <c r="AV206" s="135"/>
      <c r="AW206" s="135"/>
      <c r="AX206" s="135"/>
      <c r="AY206" s="135"/>
      <c r="AZ206" s="135"/>
      <c r="BA206" s="135"/>
      <c r="BB206" s="135"/>
      <c r="BC206" s="135"/>
      <c r="BD206" s="135"/>
      <c r="BE206" s="135"/>
      <c r="BF206" s="135"/>
      <c r="BG206" s="135"/>
      <c r="BH206" s="135"/>
      <c r="BI206" s="135"/>
      <c r="BJ206" s="135"/>
      <c r="BK206" s="135"/>
      <c r="BL206" s="135"/>
    </row>
    <row r="207" spans="1:64">
      <c r="A207" s="135"/>
      <c r="B207" s="135"/>
      <c r="C207" s="135"/>
      <c r="D207" s="135"/>
      <c r="E207" s="198">
        <v>81</v>
      </c>
      <c r="F207" s="199">
        <f t="shared" si="57"/>
        <v>80</v>
      </c>
      <c r="G207" s="199">
        <f t="shared" si="58"/>
        <v>160</v>
      </c>
      <c r="H207" s="201">
        <f t="shared" si="59"/>
        <v>7.6865186493597404E-85</v>
      </c>
      <c r="I207" s="201"/>
      <c r="J207" s="237">
        <f>SUM(H$126:H207)</f>
        <v>1.0279762834600266</v>
      </c>
      <c r="K207" s="177"/>
      <c r="L207" s="175">
        <f t="shared" si="60"/>
        <v>48.442241102738372</v>
      </c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  <c r="AA207" s="135"/>
      <c r="AB207" s="135"/>
      <c r="AC207" s="135"/>
      <c r="AD207" s="135"/>
      <c r="AE207" s="135"/>
      <c r="AF207" s="135"/>
      <c r="AG207" s="135"/>
      <c r="AH207" s="135"/>
      <c r="AI207" s="135"/>
      <c r="AJ207" s="135"/>
      <c r="AK207" s="135"/>
      <c r="AL207" s="135"/>
      <c r="AM207" s="135"/>
      <c r="AN207" s="135"/>
      <c r="AO207" s="135"/>
      <c r="AP207" s="135"/>
      <c r="AQ207" s="135"/>
      <c r="AR207" s="135"/>
      <c r="AS207" s="135"/>
      <c r="AT207" s="135"/>
      <c r="AU207" s="135"/>
      <c r="AV207" s="135"/>
      <c r="AW207" s="135"/>
      <c r="AX207" s="135"/>
      <c r="AY207" s="135"/>
      <c r="AZ207" s="135"/>
      <c r="BA207" s="135"/>
      <c r="BB207" s="135"/>
      <c r="BC207" s="135"/>
      <c r="BD207" s="135"/>
      <c r="BE207" s="135"/>
      <c r="BF207" s="135"/>
      <c r="BG207" s="135"/>
      <c r="BH207" s="135"/>
      <c r="BI207" s="135"/>
      <c r="BJ207" s="135"/>
      <c r="BK207" s="135"/>
      <c r="BL207" s="135"/>
    </row>
    <row r="208" spans="1:64">
      <c r="A208" s="135"/>
      <c r="B208" s="135"/>
      <c r="C208" s="135"/>
      <c r="D208" s="135"/>
      <c r="E208" s="198">
        <v>82</v>
      </c>
      <c r="F208" s="199">
        <f t="shared" si="57"/>
        <v>81</v>
      </c>
      <c r="G208" s="199">
        <f t="shared" si="58"/>
        <v>162</v>
      </c>
      <c r="H208" s="201">
        <f t="shared" si="59"/>
        <v>8.230974036207518E-86</v>
      </c>
      <c r="I208" s="201"/>
      <c r="J208" s="237">
        <f>SUM(H$126:H208)</f>
        <v>1.0279762834600266</v>
      </c>
      <c r="K208" s="177"/>
      <c r="L208" s="175">
        <f t="shared" si="60"/>
        <v>48.442241102738372</v>
      </c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  <c r="AB208" s="135"/>
      <c r="AC208" s="135"/>
      <c r="AD208" s="135"/>
      <c r="AE208" s="135"/>
      <c r="AF208" s="135"/>
      <c r="AG208" s="135"/>
      <c r="AH208" s="135"/>
      <c r="AI208" s="135"/>
      <c r="AJ208" s="135"/>
      <c r="AK208" s="135"/>
      <c r="AL208" s="135"/>
      <c r="AM208" s="135"/>
      <c r="AN208" s="135"/>
      <c r="AO208" s="135"/>
      <c r="AP208" s="135"/>
      <c r="AQ208" s="135"/>
      <c r="AR208" s="135"/>
      <c r="AS208" s="135"/>
      <c r="AT208" s="135"/>
      <c r="AU208" s="135"/>
      <c r="AV208" s="135"/>
      <c r="AW208" s="135"/>
      <c r="AX208" s="135"/>
      <c r="AY208" s="135"/>
      <c r="AZ208" s="135"/>
      <c r="BA208" s="135"/>
      <c r="BB208" s="135"/>
      <c r="BC208" s="135"/>
      <c r="BD208" s="135"/>
      <c r="BE208" s="135"/>
      <c r="BF208" s="135"/>
      <c r="BG208" s="135"/>
      <c r="BH208" s="135"/>
      <c r="BI208" s="135"/>
      <c r="BJ208" s="135"/>
      <c r="BK208" s="135"/>
      <c r="BL208" s="135"/>
    </row>
    <row r="209" spans="1:64">
      <c r="A209" s="135"/>
      <c r="B209" s="135"/>
      <c r="C209" s="135"/>
      <c r="D209" s="135"/>
      <c r="E209" s="198">
        <v>83</v>
      </c>
      <c r="F209" s="199">
        <f t="shared" si="57"/>
        <v>82</v>
      </c>
      <c r="G209" s="199">
        <f t="shared" si="58"/>
        <v>164</v>
      </c>
      <c r="H209" s="201">
        <f t="shared" si="59"/>
        <v>8.8179524994757259E-87</v>
      </c>
      <c r="I209" s="201"/>
      <c r="J209" s="237">
        <f>SUM(H$126:H209)</f>
        <v>1.0279762834600266</v>
      </c>
      <c r="K209" s="177"/>
      <c r="L209" s="175">
        <f t="shared" si="60"/>
        <v>48.442241102738372</v>
      </c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  <c r="AA209" s="135"/>
      <c r="AB209" s="135"/>
      <c r="AC209" s="135"/>
      <c r="AD209" s="135"/>
      <c r="AE209" s="135"/>
      <c r="AF209" s="135"/>
      <c r="AG209" s="135"/>
      <c r="AH209" s="135"/>
      <c r="AI209" s="135"/>
      <c r="AJ209" s="135"/>
      <c r="AK209" s="135"/>
      <c r="AL209" s="135"/>
      <c r="AM209" s="135"/>
      <c r="AN209" s="135"/>
      <c r="AO209" s="135"/>
      <c r="AP209" s="135"/>
      <c r="AQ209" s="135"/>
      <c r="AR209" s="135"/>
      <c r="AS209" s="135"/>
      <c r="AT209" s="135"/>
      <c r="AU209" s="135"/>
      <c r="AV209" s="135"/>
      <c r="AW209" s="135"/>
      <c r="AX209" s="135"/>
      <c r="AY209" s="135"/>
      <c r="AZ209" s="135"/>
      <c r="BA209" s="135"/>
      <c r="BB209" s="135"/>
      <c r="BC209" s="135"/>
      <c r="BD209" s="135"/>
      <c r="BE209" s="135"/>
      <c r="BF209" s="135"/>
      <c r="BG209" s="135"/>
      <c r="BH209" s="135"/>
      <c r="BI209" s="135"/>
      <c r="BJ209" s="135"/>
      <c r="BK209" s="135"/>
      <c r="BL209" s="135"/>
    </row>
    <row r="210" spans="1:64">
      <c r="A210" s="135"/>
      <c r="B210" s="135"/>
      <c r="C210" s="135"/>
      <c r="D210" s="135"/>
      <c r="E210" s="198">
        <v>84</v>
      </c>
      <c r="F210" s="199">
        <f t="shared" si="57"/>
        <v>83</v>
      </c>
      <c r="G210" s="199">
        <f t="shared" si="58"/>
        <v>166</v>
      </c>
      <c r="H210" s="201">
        <f t="shared" si="59"/>
        <v>9.450930523991643E-88</v>
      </c>
      <c r="I210" s="201"/>
      <c r="J210" s="237">
        <f>SUM(H$126:H210)</f>
        <v>1.0279762834600266</v>
      </c>
      <c r="K210" s="177"/>
      <c r="L210" s="175">
        <f t="shared" si="60"/>
        <v>48.442241102738372</v>
      </c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  <c r="AA210" s="135"/>
      <c r="AB210" s="135"/>
      <c r="AC210" s="135"/>
      <c r="AD210" s="135"/>
      <c r="AE210" s="135"/>
      <c r="AF210" s="135"/>
      <c r="AG210" s="135"/>
      <c r="AH210" s="135"/>
      <c r="AI210" s="135"/>
      <c r="AJ210" s="135"/>
      <c r="AK210" s="135"/>
      <c r="AL210" s="135"/>
      <c r="AM210" s="135"/>
      <c r="AN210" s="135"/>
      <c r="AO210" s="135"/>
      <c r="AP210" s="135"/>
      <c r="AQ210" s="135"/>
      <c r="AR210" s="135"/>
      <c r="AS210" s="135"/>
      <c r="AT210" s="135"/>
      <c r="AU210" s="135"/>
      <c r="AV210" s="135"/>
      <c r="AW210" s="135"/>
      <c r="AX210" s="135"/>
      <c r="AY210" s="135"/>
      <c r="AZ210" s="135"/>
      <c r="BA210" s="135"/>
      <c r="BB210" s="135"/>
      <c r="BC210" s="135"/>
      <c r="BD210" s="135"/>
      <c r="BE210" s="135"/>
      <c r="BF210" s="135"/>
      <c r="BG210" s="135"/>
      <c r="BH210" s="135"/>
      <c r="BI210" s="135"/>
      <c r="BJ210" s="135"/>
      <c r="BK210" s="135"/>
      <c r="BL210" s="135"/>
    </row>
    <row r="211" spans="1:64">
      <c r="A211" s="135"/>
      <c r="B211" s="135"/>
      <c r="C211" s="135"/>
      <c r="D211" s="135"/>
      <c r="E211" s="198">
        <v>85</v>
      </c>
      <c r="F211" s="199">
        <f t="shared" si="57"/>
        <v>84</v>
      </c>
      <c r="G211" s="199">
        <f t="shared" si="58"/>
        <v>168</v>
      </c>
      <c r="H211" s="201">
        <f t="shared" si="59"/>
        <v>1.0133679407289642E-88</v>
      </c>
      <c r="I211" s="201"/>
      <c r="J211" s="237">
        <f>SUM(H$126:H211)</f>
        <v>1.0279762834600266</v>
      </c>
      <c r="K211" s="177"/>
      <c r="L211" s="175">
        <f t="shared" si="60"/>
        <v>48.442241102738372</v>
      </c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A211" s="135"/>
      <c r="AB211" s="135"/>
      <c r="AC211" s="135"/>
      <c r="AD211" s="135"/>
      <c r="AE211" s="135"/>
      <c r="AF211" s="135"/>
      <c r="AG211" s="135"/>
      <c r="AH211" s="135"/>
      <c r="AI211" s="135"/>
      <c r="AJ211" s="135"/>
      <c r="AK211" s="135"/>
      <c r="AL211" s="135"/>
      <c r="AM211" s="135"/>
      <c r="AN211" s="135"/>
      <c r="AO211" s="135"/>
      <c r="AP211" s="135"/>
      <c r="AQ211" s="135"/>
      <c r="AR211" s="135"/>
      <c r="AS211" s="135"/>
      <c r="AT211" s="135"/>
      <c r="AU211" s="135"/>
      <c r="AV211" s="135"/>
      <c r="AW211" s="135"/>
      <c r="AX211" s="135"/>
      <c r="AY211" s="135"/>
      <c r="AZ211" s="135"/>
      <c r="BA211" s="135"/>
      <c r="BB211" s="135"/>
      <c r="BC211" s="135"/>
      <c r="BD211" s="135"/>
      <c r="BE211" s="135"/>
      <c r="BF211" s="135"/>
      <c r="BG211" s="135"/>
      <c r="BH211" s="135"/>
      <c r="BI211" s="135"/>
      <c r="BJ211" s="135"/>
      <c r="BK211" s="135"/>
      <c r="BL211" s="135"/>
    </row>
    <row r="212" spans="1:64">
      <c r="A212" s="135"/>
      <c r="B212" s="135"/>
      <c r="C212" s="135"/>
      <c r="D212" s="135"/>
      <c r="E212" s="135"/>
      <c r="F212" s="173"/>
      <c r="G212" s="1"/>
      <c r="H212" s="173"/>
      <c r="I212" s="173"/>
      <c r="J212" s="173"/>
      <c r="K212" s="173"/>
      <c r="L212" s="173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  <c r="AA212" s="135"/>
      <c r="AB212" s="135"/>
      <c r="AC212" s="135"/>
      <c r="AD212" s="135"/>
      <c r="AE212" s="135"/>
      <c r="AF212" s="135"/>
      <c r="AG212" s="135"/>
      <c r="AH212" s="135"/>
      <c r="AI212" s="135"/>
      <c r="AJ212" s="135"/>
      <c r="AK212" s="135"/>
      <c r="AL212" s="135"/>
      <c r="AM212" s="135"/>
      <c r="AN212" s="135"/>
      <c r="AO212" s="135"/>
      <c r="AP212" s="135"/>
      <c r="AQ212" s="135"/>
      <c r="AR212" s="135"/>
      <c r="AS212" s="135"/>
      <c r="AT212" s="135"/>
      <c r="AU212" s="135"/>
      <c r="AV212" s="135"/>
      <c r="AW212" s="135"/>
      <c r="AX212" s="135"/>
      <c r="AY212" s="135"/>
      <c r="AZ212" s="135"/>
      <c r="BA212" s="135"/>
      <c r="BB212" s="135"/>
      <c r="BC212" s="135"/>
      <c r="BD212" s="135"/>
      <c r="BE212" s="135"/>
      <c r="BF212" s="135"/>
      <c r="BG212" s="135"/>
      <c r="BH212" s="135"/>
      <c r="BI212" s="135"/>
      <c r="BJ212" s="135"/>
      <c r="BK212" s="135"/>
      <c r="BL212" s="135"/>
    </row>
    <row r="213" spans="1:64">
      <c r="A213" s="135"/>
      <c r="B213" s="135"/>
      <c r="C213" s="135"/>
      <c r="D213" s="135"/>
      <c r="E213" s="135"/>
      <c r="F213" s="1"/>
      <c r="G213" s="178" t="s">
        <v>7</v>
      </c>
      <c r="H213" s="215">
        <f>1+SUM(H127:H211)</f>
        <v>1.0279762834600268</v>
      </c>
      <c r="I213" s="167"/>
      <c r="J213" s="173"/>
      <c r="K213" s="173"/>
      <c r="L213" s="209">
        <f>PI()*($C$13+$C$18)*H213</f>
        <v>48.442241102738379</v>
      </c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  <c r="AA213" s="135"/>
      <c r="AB213" s="135"/>
      <c r="AC213" s="135"/>
      <c r="AD213" s="135"/>
      <c r="AE213" s="135"/>
      <c r="AF213" s="135"/>
      <c r="AG213" s="135"/>
      <c r="AH213" s="135"/>
      <c r="AI213" s="135"/>
      <c r="AJ213" s="135"/>
      <c r="AK213" s="135"/>
      <c r="AL213" s="135"/>
      <c r="AM213" s="135"/>
      <c r="AN213" s="135"/>
      <c r="AO213" s="135"/>
      <c r="AP213" s="135"/>
      <c r="AQ213" s="135"/>
      <c r="AR213" s="135"/>
      <c r="AS213" s="135"/>
      <c r="AT213" s="135"/>
      <c r="AU213" s="135"/>
      <c r="AV213" s="135"/>
      <c r="AW213" s="135"/>
      <c r="AX213" s="135"/>
      <c r="AY213" s="135"/>
      <c r="AZ213" s="135"/>
      <c r="BA213" s="135"/>
      <c r="BB213" s="135"/>
      <c r="BC213" s="135"/>
      <c r="BD213" s="135"/>
      <c r="BE213" s="135"/>
      <c r="BF213" s="135"/>
      <c r="BG213" s="135"/>
      <c r="BH213" s="135"/>
      <c r="BI213" s="135"/>
      <c r="BJ213" s="135"/>
      <c r="BK213" s="135"/>
      <c r="BL213" s="135"/>
    </row>
    <row r="214" spans="1:64">
      <c r="A214" s="135"/>
      <c r="B214" s="135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  <c r="AA214" s="135"/>
      <c r="AB214" s="135"/>
      <c r="AC214" s="135"/>
      <c r="AD214" s="135"/>
      <c r="AE214" s="135"/>
      <c r="AF214" s="135"/>
      <c r="AG214" s="135"/>
      <c r="AH214" s="135"/>
      <c r="AI214" s="135"/>
      <c r="AJ214" s="135"/>
      <c r="AK214" s="135"/>
      <c r="AL214" s="135"/>
      <c r="AM214" s="135"/>
      <c r="AN214" s="135"/>
      <c r="AO214" s="135"/>
      <c r="AP214" s="135"/>
      <c r="AQ214" s="135"/>
      <c r="AR214" s="135"/>
      <c r="AS214" s="135"/>
      <c r="AT214" s="135"/>
      <c r="AU214" s="135"/>
      <c r="AV214" s="135"/>
      <c r="AW214" s="135"/>
      <c r="AX214" s="135"/>
      <c r="AY214" s="135"/>
      <c r="AZ214" s="135"/>
      <c r="BA214" s="135"/>
      <c r="BB214" s="135"/>
      <c r="BC214" s="135"/>
      <c r="BD214" s="135"/>
      <c r="BE214" s="135"/>
      <c r="BF214" s="135"/>
      <c r="BG214" s="135"/>
      <c r="BH214" s="135"/>
      <c r="BI214" s="135"/>
      <c r="BJ214" s="135"/>
      <c r="BK214" s="135"/>
      <c r="BL214" s="135"/>
    </row>
    <row r="215" spans="1:64">
      <c r="A215" s="135"/>
      <c r="B215" s="135"/>
      <c r="C215" s="135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  <c r="AA215" s="135"/>
      <c r="AB215" s="135"/>
      <c r="AC215" s="135"/>
      <c r="AD215" s="135"/>
      <c r="AE215" s="135"/>
      <c r="AF215" s="135"/>
      <c r="AG215" s="135"/>
      <c r="AH215" s="135"/>
      <c r="AI215" s="135"/>
      <c r="AJ215" s="135"/>
      <c r="AK215" s="135"/>
      <c r="AL215" s="135"/>
      <c r="AM215" s="135"/>
      <c r="AN215" s="135"/>
      <c r="AO215" s="135"/>
      <c r="AP215" s="135"/>
      <c r="AQ215" s="135"/>
      <c r="AR215" s="135"/>
      <c r="AS215" s="135"/>
      <c r="AT215" s="135"/>
      <c r="AU215" s="135"/>
      <c r="AV215" s="135"/>
      <c r="AW215" s="135"/>
      <c r="AX215" s="135"/>
      <c r="AY215" s="135"/>
      <c r="AZ215" s="135"/>
      <c r="BA215" s="135"/>
      <c r="BB215" s="135"/>
      <c r="BC215" s="135"/>
      <c r="BD215" s="135"/>
      <c r="BE215" s="135"/>
      <c r="BF215" s="135"/>
      <c r="BG215" s="135"/>
      <c r="BH215" s="135"/>
      <c r="BI215" s="135"/>
      <c r="BJ215" s="135"/>
      <c r="BK215" s="135"/>
      <c r="BL215" s="135"/>
    </row>
    <row r="216" spans="1:64">
      <c r="A216" s="135"/>
      <c r="B216" s="135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  <c r="AA216" s="135"/>
      <c r="AB216" s="135"/>
      <c r="AC216" s="135"/>
      <c r="AD216" s="135"/>
      <c r="AE216" s="135"/>
      <c r="AF216" s="135"/>
      <c r="AG216" s="135"/>
      <c r="AH216" s="135"/>
      <c r="AI216" s="135"/>
      <c r="AJ216" s="135"/>
      <c r="AK216" s="135"/>
      <c r="AL216" s="135"/>
      <c r="AM216" s="135"/>
      <c r="AN216" s="135"/>
      <c r="AO216" s="135"/>
      <c r="AP216" s="135"/>
      <c r="AQ216" s="135"/>
      <c r="AR216" s="135"/>
      <c r="AS216" s="135"/>
      <c r="AT216" s="135"/>
      <c r="AU216" s="135"/>
      <c r="AV216" s="135"/>
      <c r="AW216" s="135"/>
      <c r="AX216" s="135"/>
      <c r="AY216" s="135"/>
      <c r="AZ216" s="135"/>
      <c r="BA216" s="135"/>
      <c r="BB216" s="135"/>
      <c r="BC216" s="135"/>
      <c r="BD216" s="135"/>
      <c r="BE216" s="135"/>
      <c r="BF216" s="135"/>
      <c r="BG216" s="135"/>
      <c r="BH216" s="135"/>
      <c r="BI216" s="135"/>
      <c r="BJ216" s="135"/>
      <c r="BK216" s="135"/>
      <c r="BL216" s="135"/>
    </row>
    <row r="217" spans="1:64">
      <c r="A217" s="135"/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135"/>
      <c r="AJ217" s="135"/>
      <c r="AK217" s="135"/>
      <c r="AL217" s="135"/>
      <c r="AM217" s="135"/>
      <c r="AN217" s="135"/>
      <c r="AO217" s="135"/>
      <c r="AP217" s="135"/>
      <c r="AQ217" s="135"/>
      <c r="AR217" s="135"/>
      <c r="AS217" s="135"/>
      <c r="AT217" s="135"/>
      <c r="AU217" s="135"/>
      <c r="AV217" s="135"/>
      <c r="AW217" s="135"/>
      <c r="AX217" s="135"/>
      <c r="AY217" s="135"/>
      <c r="AZ217" s="135"/>
      <c r="BA217" s="135"/>
      <c r="BB217" s="135"/>
      <c r="BC217" s="135"/>
      <c r="BD217" s="135"/>
      <c r="BE217" s="135"/>
      <c r="BF217" s="135"/>
      <c r="BG217" s="135"/>
      <c r="BH217" s="135"/>
      <c r="BI217" s="135"/>
      <c r="BJ217" s="135"/>
      <c r="BK217" s="135"/>
      <c r="BL217" s="135"/>
    </row>
    <row r="218" spans="1:64">
      <c r="A218" s="135"/>
      <c r="B218" s="135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  <c r="AK218" s="135"/>
      <c r="AL218" s="135"/>
      <c r="AM218" s="135"/>
      <c r="AN218" s="135"/>
      <c r="AO218" s="135"/>
      <c r="AP218" s="135"/>
      <c r="AQ218" s="135"/>
      <c r="AR218" s="135"/>
      <c r="AS218" s="135"/>
      <c r="AT218" s="135"/>
      <c r="AU218" s="135"/>
      <c r="AV218" s="135"/>
      <c r="AW218" s="135"/>
      <c r="AX218" s="135"/>
      <c r="AY218" s="135"/>
      <c r="AZ218" s="135"/>
      <c r="BA218" s="135"/>
      <c r="BB218" s="135"/>
      <c r="BC218" s="135"/>
      <c r="BD218" s="135"/>
      <c r="BE218" s="135"/>
      <c r="BF218" s="135"/>
      <c r="BG218" s="135"/>
      <c r="BH218" s="135"/>
      <c r="BI218" s="135"/>
      <c r="BJ218" s="135"/>
      <c r="BK218" s="135"/>
      <c r="BL218" s="135"/>
    </row>
    <row r="219" spans="1:64">
      <c r="A219" s="135"/>
      <c r="B219" s="135"/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  <c r="AA219" s="135"/>
      <c r="AB219" s="135"/>
      <c r="AC219" s="135"/>
      <c r="AD219" s="135"/>
      <c r="AE219" s="135"/>
      <c r="AF219" s="135"/>
      <c r="AG219" s="135"/>
      <c r="AH219" s="135"/>
      <c r="AI219" s="135"/>
      <c r="AJ219" s="135"/>
      <c r="AK219" s="135"/>
      <c r="AL219" s="135"/>
      <c r="AM219" s="135"/>
      <c r="AN219" s="135"/>
      <c r="AO219" s="135"/>
      <c r="AP219" s="135"/>
      <c r="AQ219" s="135"/>
      <c r="AR219" s="135"/>
      <c r="AS219" s="135"/>
      <c r="AT219" s="135"/>
      <c r="AU219" s="135"/>
      <c r="AV219" s="135"/>
      <c r="AW219" s="135"/>
      <c r="AX219" s="135"/>
      <c r="AY219" s="135"/>
      <c r="AZ219" s="135"/>
      <c r="BA219" s="135"/>
      <c r="BB219" s="135"/>
      <c r="BC219" s="135"/>
      <c r="BD219" s="135"/>
      <c r="BE219" s="135"/>
      <c r="BF219" s="135"/>
      <c r="BG219" s="135"/>
      <c r="BH219" s="135"/>
      <c r="BI219" s="135"/>
      <c r="BJ219" s="135"/>
      <c r="BK219" s="135"/>
      <c r="BL219" s="135"/>
    </row>
    <row r="220" spans="1:64">
      <c r="A220" s="135"/>
      <c r="B220" s="135"/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135"/>
      <c r="AJ220" s="135"/>
      <c r="AK220" s="135"/>
      <c r="AL220" s="135"/>
      <c r="AM220" s="135"/>
      <c r="AN220" s="135"/>
      <c r="AO220" s="135"/>
      <c r="AP220" s="135"/>
      <c r="AQ220" s="135"/>
      <c r="AR220" s="135"/>
      <c r="AS220" s="135"/>
      <c r="AT220" s="135"/>
      <c r="AU220" s="135"/>
      <c r="AV220" s="135"/>
      <c r="AW220" s="135"/>
      <c r="AX220" s="135"/>
      <c r="AY220" s="135"/>
      <c r="AZ220" s="135"/>
      <c r="BA220" s="135"/>
      <c r="BB220" s="135"/>
      <c r="BC220" s="135"/>
      <c r="BD220" s="135"/>
      <c r="BE220" s="135"/>
      <c r="BF220" s="135"/>
      <c r="BG220" s="135"/>
      <c r="BH220" s="135"/>
      <c r="BI220" s="135"/>
      <c r="BJ220" s="135"/>
      <c r="BK220" s="135"/>
      <c r="BL220" s="135"/>
    </row>
    <row r="221" spans="1:64">
      <c r="A221" s="135"/>
      <c r="B221" s="135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  <c r="AA221" s="135"/>
      <c r="AB221" s="135"/>
      <c r="AC221" s="135"/>
      <c r="AD221" s="135"/>
      <c r="AE221" s="135"/>
      <c r="AF221" s="135"/>
      <c r="AG221" s="135"/>
      <c r="AH221" s="135"/>
      <c r="AI221" s="135"/>
      <c r="AJ221" s="135"/>
      <c r="AK221" s="135"/>
      <c r="AL221" s="135"/>
      <c r="AM221" s="135"/>
      <c r="AN221" s="135"/>
      <c r="AO221" s="135"/>
      <c r="AP221" s="135"/>
      <c r="AQ221" s="135"/>
      <c r="AR221" s="135"/>
      <c r="AS221" s="135"/>
      <c r="AT221" s="135"/>
      <c r="AU221" s="135"/>
      <c r="AV221" s="135"/>
      <c r="AW221" s="135"/>
      <c r="AX221" s="135"/>
      <c r="AY221" s="135"/>
      <c r="AZ221" s="135"/>
      <c r="BA221" s="135"/>
      <c r="BB221" s="135"/>
      <c r="BC221" s="135"/>
      <c r="BD221" s="135"/>
      <c r="BE221" s="135"/>
      <c r="BF221" s="135"/>
      <c r="BG221" s="135"/>
      <c r="BH221" s="135"/>
      <c r="BI221" s="135"/>
      <c r="BJ221" s="135"/>
      <c r="BK221" s="135"/>
      <c r="BL221" s="135"/>
    </row>
    <row r="222" spans="1:64">
      <c r="A222" s="135"/>
      <c r="B222" s="135"/>
      <c r="C222" s="135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  <c r="AA222" s="135"/>
      <c r="AB222" s="135"/>
      <c r="AC222" s="135"/>
      <c r="AD222" s="135"/>
      <c r="AE222" s="135"/>
      <c r="AF222" s="135"/>
      <c r="AG222" s="135"/>
      <c r="AH222" s="135"/>
      <c r="AI222" s="135"/>
      <c r="AJ222" s="135"/>
      <c r="AK222" s="135"/>
      <c r="AL222" s="135"/>
      <c r="AM222" s="135"/>
      <c r="AN222" s="135"/>
      <c r="AO222" s="135"/>
      <c r="AP222" s="135"/>
      <c r="AQ222" s="135"/>
      <c r="AR222" s="135"/>
      <c r="AS222" s="135"/>
      <c r="AT222" s="135"/>
      <c r="AU222" s="135"/>
      <c r="AV222" s="135"/>
      <c r="AW222" s="135"/>
      <c r="AX222" s="135"/>
      <c r="AY222" s="135"/>
      <c r="AZ222" s="135"/>
      <c r="BA222" s="135"/>
      <c r="BB222" s="135"/>
      <c r="BC222" s="135"/>
      <c r="BD222" s="135"/>
      <c r="BE222" s="135"/>
      <c r="BF222" s="135"/>
      <c r="BG222" s="135"/>
      <c r="BH222" s="135"/>
      <c r="BI222" s="135"/>
      <c r="BJ222" s="135"/>
      <c r="BK222" s="135"/>
      <c r="BL222" s="135"/>
    </row>
    <row r="223" spans="1:64">
      <c r="A223" s="135"/>
      <c r="B223" s="135"/>
      <c r="C223" s="135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5"/>
      <c r="AI223" s="135"/>
      <c r="AJ223" s="135"/>
      <c r="AK223" s="135"/>
      <c r="AL223" s="135"/>
      <c r="AM223" s="135"/>
      <c r="AN223" s="135"/>
      <c r="AO223" s="135"/>
      <c r="AP223" s="135"/>
      <c r="AQ223" s="135"/>
      <c r="AR223" s="135"/>
      <c r="AS223" s="135"/>
      <c r="AT223" s="135"/>
      <c r="AU223" s="135"/>
      <c r="AV223" s="135"/>
      <c r="AW223" s="135"/>
      <c r="AX223" s="135"/>
      <c r="AY223" s="135"/>
      <c r="AZ223" s="135"/>
      <c r="BA223" s="135"/>
      <c r="BB223" s="135"/>
      <c r="BC223" s="135"/>
      <c r="BD223" s="135"/>
      <c r="BE223" s="135"/>
      <c r="BF223" s="135"/>
      <c r="BG223" s="135"/>
      <c r="BH223" s="135"/>
      <c r="BI223" s="135"/>
      <c r="BJ223" s="135"/>
      <c r="BK223" s="135"/>
      <c r="BL223" s="135"/>
    </row>
    <row r="224" spans="1:64">
      <c r="A224" s="135"/>
      <c r="B224" s="135"/>
      <c r="C224" s="135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5"/>
      <c r="AI224" s="135"/>
      <c r="AJ224" s="135"/>
      <c r="AK224" s="135"/>
      <c r="AL224" s="135"/>
      <c r="AM224" s="135"/>
      <c r="AN224" s="135"/>
      <c r="AO224" s="135"/>
      <c r="AP224" s="135"/>
      <c r="AQ224" s="135"/>
      <c r="AR224" s="135"/>
      <c r="AS224" s="135"/>
      <c r="AT224" s="135"/>
      <c r="AU224" s="135"/>
      <c r="AV224" s="135"/>
      <c r="AW224" s="135"/>
      <c r="AX224" s="135"/>
      <c r="AY224" s="135"/>
      <c r="AZ224" s="135"/>
      <c r="BA224" s="135"/>
      <c r="BB224" s="135"/>
      <c r="BC224" s="135"/>
      <c r="BD224" s="135"/>
      <c r="BE224" s="135"/>
      <c r="BF224" s="135"/>
      <c r="BG224" s="135"/>
      <c r="BH224" s="135"/>
      <c r="BI224" s="135"/>
      <c r="BJ224" s="135"/>
      <c r="BK224" s="135"/>
      <c r="BL224" s="135"/>
    </row>
    <row r="225" spans="1:64">
      <c r="A225" s="135"/>
      <c r="B225" s="135"/>
      <c r="C225" s="135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5"/>
      <c r="AI225" s="135"/>
      <c r="AJ225" s="135"/>
      <c r="AK225" s="135"/>
      <c r="AL225" s="135"/>
      <c r="AM225" s="135"/>
      <c r="AN225" s="135"/>
      <c r="AO225" s="135"/>
      <c r="AP225" s="135"/>
      <c r="AQ225" s="135"/>
      <c r="AR225" s="135"/>
      <c r="AS225" s="135"/>
      <c r="AT225" s="135"/>
      <c r="AU225" s="135"/>
      <c r="AV225" s="135"/>
      <c r="AW225" s="135"/>
      <c r="AX225" s="135"/>
      <c r="AY225" s="135"/>
      <c r="AZ225" s="135"/>
      <c r="BA225" s="135"/>
      <c r="BB225" s="135"/>
      <c r="BC225" s="135"/>
      <c r="BD225" s="135"/>
      <c r="BE225" s="135"/>
      <c r="BF225" s="135"/>
      <c r="BG225" s="135"/>
      <c r="BH225" s="135"/>
      <c r="BI225" s="135"/>
      <c r="BJ225" s="135"/>
      <c r="BK225" s="135"/>
      <c r="BL225" s="135"/>
    </row>
    <row r="226" spans="1:64">
      <c r="A226" s="135"/>
      <c r="B226" s="135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5"/>
      <c r="AI226" s="135"/>
      <c r="AJ226" s="135"/>
      <c r="AK226" s="135"/>
      <c r="AL226" s="135"/>
      <c r="AM226" s="135"/>
      <c r="AN226" s="135"/>
      <c r="AO226" s="135"/>
      <c r="AP226" s="135"/>
      <c r="AQ226" s="135"/>
      <c r="AR226" s="135"/>
      <c r="AS226" s="135"/>
      <c r="AT226" s="135"/>
      <c r="AU226" s="135"/>
      <c r="AV226" s="135"/>
      <c r="AW226" s="135"/>
      <c r="AX226" s="135"/>
      <c r="AY226" s="135"/>
      <c r="AZ226" s="135"/>
      <c r="BA226" s="135"/>
      <c r="BB226" s="135"/>
      <c r="BC226" s="135"/>
      <c r="BD226" s="135"/>
      <c r="BE226" s="135"/>
      <c r="BF226" s="135"/>
      <c r="BG226" s="135"/>
      <c r="BH226" s="135"/>
      <c r="BI226" s="135"/>
      <c r="BJ226" s="135"/>
      <c r="BK226" s="135"/>
      <c r="BL226" s="135"/>
    </row>
    <row r="227" spans="1:64">
      <c r="A227" s="135"/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5"/>
      <c r="AI227" s="135"/>
      <c r="AJ227" s="135"/>
      <c r="AK227" s="135"/>
      <c r="AL227" s="135"/>
      <c r="AM227" s="135"/>
      <c r="AN227" s="135"/>
      <c r="AO227" s="135"/>
      <c r="AP227" s="135"/>
      <c r="AQ227" s="135"/>
      <c r="AR227" s="135"/>
      <c r="AS227" s="135"/>
      <c r="AT227" s="135"/>
      <c r="AU227" s="135"/>
      <c r="AV227" s="135"/>
      <c r="AW227" s="135"/>
      <c r="AX227" s="135"/>
      <c r="AY227" s="135"/>
      <c r="AZ227" s="135"/>
      <c r="BA227" s="135"/>
      <c r="BB227" s="135"/>
      <c r="BC227" s="135"/>
      <c r="BD227" s="135"/>
      <c r="BE227" s="135"/>
      <c r="BF227" s="135"/>
      <c r="BG227" s="135"/>
      <c r="BH227" s="135"/>
      <c r="BI227" s="135"/>
      <c r="BJ227" s="135"/>
      <c r="BK227" s="135"/>
      <c r="BL227" s="135"/>
    </row>
    <row r="228" spans="1:64">
      <c r="A228" s="135"/>
      <c r="B228" s="135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  <c r="AA228" s="135"/>
      <c r="AB228" s="135"/>
      <c r="AC228" s="135"/>
      <c r="AD228" s="135"/>
      <c r="AE228" s="135"/>
      <c r="AF228" s="135"/>
      <c r="AG228" s="135"/>
      <c r="AH228" s="135"/>
      <c r="AI228" s="135"/>
      <c r="AJ228" s="135"/>
      <c r="AK228" s="135"/>
      <c r="AL228" s="135"/>
      <c r="AM228" s="135"/>
      <c r="AN228" s="135"/>
      <c r="AO228" s="135"/>
      <c r="AP228" s="135"/>
      <c r="AQ228" s="135"/>
      <c r="AR228" s="135"/>
      <c r="AS228" s="135"/>
      <c r="AT228" s="135"/>
      <c r="AU228" s="135"/>
      <c r="AV228" s="135"/>
      <c r="AW228" s="135"/>
      <c r="AX228" s="135"/>
      <c r="AY228" s="135"/>
      <c r="AZ228" s="135"/>
      <c r="BA228" s="135"/>
      <c r="BB228" s="135"/>
      <c r="BC228" s="135"/>
      <c r="BD228" s="135"/>
      <c r="BE228" s="135"/>
      <c r="BF228" s="135"/>
      <c r="BG228" s="135"/>
      <c r="BH228" s="135"/>
      <c r="BI228" s="135"/>
      <c r="BJ228" s="135"/>
      <c r="BK228" s="135"/>
      <c r="BL228" s="135"/>
    </row>
    <row r="229" spans="1:64">
      <c r="A229" s="135"/>
      <c r="B229" s="135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  <c r="AA229" s="135"/>
      <c r="AB229" s="135"/>
      <c r="AC229" s="135"/>
      <c r="AD229" s="135"/>
      <c r="AE229" s="135"/>
      <c r="AF229" s="135"/>
      <c r="AG229" s="135"/>
      <c r="AH229" s="135"/>
      <c r="AI229" s="135"/>
      <c r="AJ229" s="135"/>
      <c r="AK229" s="135"/>
      <c r="AL229" s="135"/>
      <c r="AM229" s="135"/>
      <c r="AN229" s="135"/>
      <c r="AO229" s="135"/>
      <c r="AP229" s="135"/>
      <c r="AQ229" s="135"/>
      <c r="AR229" s="135"/>
      <c r="AS229" s="135"/>
      <c r="AT229" s="135"/>
      <c r="AU229" s="135"/>
      <c r="AV229" s="135"/>
      <c r="AW229" s="135"/>
      <c r="AX229" s="135"/>
      <c r="AY229" s="135"/>
      <c r="AZ229" s="135"/>
      <c r="BA229" s="135"/>
      <c r="BB229" s="135"/>
      <c r="BC229" s="135"/>
      <c r="BD229" s="135"/>
      <c r="BE229" s="135"/>
      <c r="BF229" s="135"/>
      <c r="BG229" s="135"/>
      <c r="BH229" s="135"/>
      <c r="BI229" s="135"/>
      <c r="BJ229" s="135"/>
      <c r="BK229" s="135"/>
      <c r="BL229" s="135"/>
    </row>
    <row r="230" spans="1:64">
      <c r="A230" s="135"/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  <c r="AA230" s="135"/>
      <c r="AB230" s="135"/>
      <c r="AC230" s="135"/>
      <c r="AD230" s="135"/>
      <c r="AE230" s="135"/>
      <c r="AF230" s="135"/>
      <c r="AG230" s="135"/>
      <c r="AH230" s="135"/>
      <c r="AI230" s="135"/>
      <c r="AJ230" s="135"/>
      <c r="AK230" s="135"/>
      <c r="AL230" s="135"/>
      <c r="AM230" s="135"/>
      <c r="AN230" s="135"/>
      <c r="AO230" s="135"/>
      <c r="AP230" s="135"/>
      <c r="AQ230" s="135"/>
      <c r="AR230" s="135"/>
      <c r="AS230" s="135"/>
      <c r="AT230" s="135"/>
      <c r="AU230" s="135"/>
      <c r="AV230" s="135"/>
      <c r="AW230" s="135"/>
      <c r="AX230" s="135"/>
      <c r="AY230" s="135"/>
      <c r="AZ230" s="135"/>
      <c r="BA230" s="135"/>
      <c r="BB230" s="135"/>
      <c r="BC230" s="135"/>
      <c r="BD230" s="135"/>
      <c r="BE230" s="135"/>
      <c r="BF230" s="135"/>
      <c r="BG230" s="135"/>
      <c r="BH230" s="135"/>
      <c r="BI230" s="135"/>
      <c r="BJ230" s="135"/>
      <c r="BK230" s="135"/>
      <c r="BL230" s="135"/>
    </row>
    <row r="231" spans="1:64">
      <c r="A231" s="135"/>
      <c r="B231" s="135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  <c r="AA231" s="135"/>
      <c r="AB231" s="135"/>
      <c r="AC231" s="135"/>
      <c r="AD231" s="135"/>
      <c r="AE231" s="135"/>
      <c r="AF231" s="135"/>
      <c r="AG231" s="135"/>
      <c r="AH231" s="135"/>
      <c r="AI231" s="135"/>
      <c r="AJ231" s="135"/>
      <c r="AK231" s="135"/>
      <c r="AL231" s="135"/>
      <c r="AM231" s="135"/>
      <c r="AN231" s="135"/>
      <c r="AO231" s="135"/>
      <c r="AP231" s="135"/>
      <c r="AQ231" s="135"/>
      <c r="AR231" s="135"/>
      <c r="AS231" s="135"/>
      <c r="AT231" s="135"/>
      <c r="AU231" s="135"/>
      <c r="AV231" s="135"/>
      <c r="AW231" s="135"/>
      <c r="AX231" s="135"/>
      <c r="AY231" s="135"/>
      <c r="AZ231" s="135"/>
      <c r="BA231" s="135"/>
      <c r="BB231" s="135"/>
      <c r="BC231" s="135"/>
      <c r="BD231" s="135"/>
      <c r="BE231" s="135"/>
      <c r="BF231" s="135"/>
      <c r="BG231" s="135"/>
      <c r="BH231" s="135"/>
      <c r="BI231" s="135"/>
      <c r="BJ231" s="135"/>
      <c r="BK231" s="135"/>
      <c r="BL231" s="135"/>
    </row>
    <row r="232" spans="1:64">
      <c r="A232" s="135"/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  <c r="AL232" s="135"/>
      <c r="AM232" s="135"/>
      <c r="AN232" s="135"/>
      <c r="AO232" s="135"/>
      <c r="AP232" s="135"/>
      <c r="AQ232" s="135"/>
      <c r="AR232" s="135"/>
      <c r="AS232" s="135"/>
      <c r="AT232" s="135"/>
      <c r="AU232" s="135"/>
      <c r="AV232" s="135"/>
      <c r="AW232" s="135"/>
      <c r="AX232" s="135"/>
      <c r="AY232" s="135"/>
      <c r="AZ232" s="135"/>
      <c r="BA232" s="135"/>
      <c r="BB232" s="135"/>
      <c r="BC232" s="135"/>
      <c r="BD232" s="135"/>
      <c r="BE232" s="135"/>
      <c r="BF232" s="135"/>
      <c r="BG232" s="135"/>
      <c r="BH232" s="135"/>
      <c r="BI232" s="135"/>
      <c r="BJ232" s="135"/>
      <c r="BK232" s="135"/>
      <c r="BL232" s="135"/>
    </row>
    <row r="233" spans="1:64">
      <c r="A233" s="135"/>
      <c r="B233" s="135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  <c r="AA233" s="135"/>
      <c r="AB233" s="135"/>
      <c r="AC233" s="135"/>
      <c r="AD233" s="135"/>
      <c r="AE233" s="135"/>
      <c r="AF233" s="135"/>
      <c r="AG233" s="135"/>
      <c r="AH233" s="135"/>
      <c r="AI233" s="135"/>
      <c r="AJ233" s="135"/>
      <c r="AK233" s="135"/>
      <c r="AL233" s="135"/>
      <c r="AM233" s="135"/>
      <c r="AN233" s="135"/>
      <c r="AO233" s="135"/>
      <c r="AP233" s="135"/>
      <c r="AQ233" s="135"/>
      <c r="AR233" s="135"/>
      <c r="AS233" s="135"/>
      <c r="AT233" s="135"/>
      <c r="AU233" s="135"/>
      <c r="AV233" s="135"/>
      <c r="AW233" s="135"/>
      <c r="AX233" s="135"/>
      <c r="AY233" s="135"/>
      <c r="AZ233" s="135"/>
      <c r="BA233" s="135"/>
      <c r="BB233" s="135"/>
      <c r="BC233" s="135"/>
      <c r="BD233" s="135"/>
      <c r="BE233" s="135"/>
      <c r="BF233" s="135"/>
      <c r="BG233" s="135"/>
      <c r="BH233" s="135"/>
      <c r="BI233" s="135"/>
      <c r="BJ233" s="135"/>
      <c r="BK233" s="135"/>
      <c r="BL233" s="135"/>
    </row>
    <row r="234" spans="1:64">
      <c r="A234" s="135"/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  <c r="AA234" s="135"/>
      <c r="AB234" s="135"/>
      <c r="AC234" s="135"/>
      <c r="AD234" s="135"/>
      <c r="AE234" s="135"/>
      <c r="AF234" s="135"/>
      <c r="AG234" s="135"/>
      <c r="AH234" s="135"/>
      <c r="AI234" s="135"/>
      <c r="AJ234" s="135"/>
      <c r="AK234" s="135"/>
      <c r="AL234" s="135"/>
      <c r="AM234" s="135"/>
      <c r="AN234" s="135"/>
      <c r="AO234" s="135"/>
      <c r="AP234" s="135"/>
      <c r="AQ234" s="135"/>
      <c r="AR234" s="135"/>
      <c r="AS234" s="135"/>
      <c r="AT234" s="135"/>
      <c r="AU234" s="135"/>
      <c r="AV234" s="135"/>
      <c r="AW234" s="135"/>
      <c r="AX234" s="135"/>
      <c r="AY234" s="135"/>
      <c r="AZ234" s="135"/>
      <c r="BA234" s="135"/>
      <c r="BB234" s="135"/>
      <c r="BC234" s="135"/>
      <c r="BD234" s="135"/>
      <c r="BE234" s="135"/>
      <c r="BF234" s="135"/>
      <c r="BG234" s="135"/>
      <c r="BH234" s="135"/>
      <c r="BI234" s="135"/>
      <c r="BJ234" s="135"/>
      <c r="BK234" s="135"/>
      <c r="BL234" s="135"/>
    </row>
    <row r="235" spans="1:64">
      <c r="A235" s="135"/>
      <c r="B235" s="135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  <c r="AA235" s="135"/>
      <c r="AB235" s="135"/>
      <c r="AC235" s="135"/>
      <c r="AD235" s="135"/>
      <c r="AE235" s="135"/>
      <c r="AF235" s="135"/>
      <c r="AG235" s="135"/>
      <c r="AH235" s="135"/>
      <c r="AI235" s="135"/>
      <c r="AJ235" s="135"/>
      <c r="AK235" s="135"/>
      <c r="AL235" s="135"/>
      <c r="AM235" s="135"/>
      <c r="AN235" s="135"/>
      <c r="AO235" s="135"/>
      <c r="AP235" s="135"/>
      <c r="AQ235" s="135"/>
      <c r="AR235" s="135"/>
      <c r="AS235" s="135"/>
      <c r="AT235" s="135"/>
      <c r="AU235" s="135"/>
      <c r="AV235" s="135"/>
      <c r="AW235" s="135"/>
      <c r="AX235" s="135"/>
      <c r="AY235" s="135"/>
      <c r="AZ235" s="135"/>
      <c r="BA235" s="135"/>
      <c r="BB235" s="135"/>
      <c r="BC235" s="135"/>
      <c r="BD235" s="135"/>
      <c r="BE235" s="135"/>
      <c r="BF235" s="135"/>
      <c r="BG235" s="135"/>
      <c r="BH235" s="135"/>
      <c r="BI235" s="135"/>
      <c r="BJ235" s="135"/>
      <c r="BK235" s="135"/>
      <c r="BL235" s="135"/>
    </row>
    <row r="236" spans="1:64">
      <c r="A236" s="135"/>
      <c r="B236" s="135"/>
      <c r="C236" s="135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135"/>
      <c r="AB236" s="135"/>
      <c r="AC236" s="135"/>
      <c r="AD236" s="135"/>
      <c r="AE236" s="135"/>
      <c r="AF236" s="135"/>
      <c r="AG236" s="135"/>
      <c r="AH236" s="135"/>
      <c r="AI236" s="135"/>
      <c r="AJ236" s="135"/>
      <c r="AK236" s="135"/>
      <c r="AL236" s="135"/>
      <c r="AM236" s="135"/>
      <c r="AN236" s="135"/>
      <c r="AO236" s="135"/>
      <c r="AP236" s="135"/>
      <c r="AQ236" s="135"/>
      <c r="AR236" s="135"/>
      <c r="AS236" s="135"/>
      <c r="AT236" s="135"/>
      <c r="AU236" s="135"/>
      <c r="AV236" s="135"/>
      <c r="AW236" s="135"/>
      <c r="AX236" s="135"/>
      <c r="AY236" s="135"/>
      <c r="AZ236" s="135"/>
      <c r="BA236" s="135"/>
      <c r="BB236" s="135"/>
      <c r="BC236" s="135"/>
      <c r="BD236" s="135"/>
      <c r="BE236" s="135"/>
      <c r="BF236" s="135"/>
      <c r="BG236" s="135"/>
      <c r="BH236" s="135"/>
      <c r="BI236" s="135"/>
      <c r="BJ236" s="135"/>
      <c r="BK236" s="135"/>
      <c r="BL236" s="135"/>
    </row>
    <row r="237" spans="1:64">
      <c r="A237" s="135"/>
      <c r="B237" s="135"/>
      <c r="C237" s="135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  <c r="AA237" s="135"/>
      <c r="AB237" s="135"/>
      <c r="AC237" s="135"/>
      <c r="AD237" s="135"/>
      <c r="AE237" s="135"/>
      <c r="AF237" s="135"/>
      <c r="AG237" s="135"/>
      <c r="AH237" s="135"/>
      <c r="AI237" s="135"/>
      <c r="AJ237" s="135"/>
      <c r="AK237" s="135"/>
      <c r="AL237" s="135"/>
      <c r="AM237" s="135"/>
      <c r="AN237" s="135"/>
      <c r="AO237" s="135"/>
      <c r="AP237" s="135"/>
      <c r="AQ237" s="135"/>
      <c r="AR237" s="135"/>
      <c r="AS237" s="135"/>
      <c r="AT237" s="135"/>
      <c r="AU237" s="135"/>
      <c r="AV237" s="135"/>
      <c r="AW237" s="135"/>
      <c r="AX237" s="135"/>
      <c r="AY237" s="135"/>
      <c r="AZ237" s="135"/>
      <c r="BA237" s="135"/>
      <c r="BB237" s="135"/>
      <c r="BC237" s="135"/>
      <c r="BD237" s="135"/>
      <c r="BE237" s="135"/>
      <c r="BF237" s="135"/>
      <c r="BG237" s="135"/>
      <c r="BH237" s="135"/>
      <c r="BI237" s="135"/>
      <c r="BJ237" s="135"/>
      <c r="BK237" s="135"/>
      <c r="BL237" s="135"/>
    </row>
    <row r="238" spans="1:64">
      <c r="A238" s="135"/>
      <c r="B238" s="135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  <c r="AA238" s="135"/>
      <c r="AB238" s="135"/>
      <c r="AC238" s="135"/>
      <c r="AD238" s="135"/>
      <c r="AE238" s="135"/>
      <c r="AF238" s="135"/>
      <c r="AG238" s="135"/>
      <c r="AH238" s="135"/>
      <c r="AI238" s="135"/>
      <c r="AJ238" s="135"/>
      <c r="AK238" s="135"/>
      <c r="AL238" s="135"/>
      <c r="AM238" s="135"/>
      <c r="AN238" s="135"/>
      <c r="AO238" s="135"/>
      <c r="AP238" s="135"/>
      <c r="AQ238" s="135"/>
      <c r="AR238" s="135"/>
      <c r="AS238" s="135"/>
      <c r="AT238" s="135"/>
      <c r="AU238" s="135"/>
      <c r="AV238" s="135"/>
      <c r="AW238" s="135"/>
      <c r="AX238" s="135"/>
      <c r="AY238" s="135"/>
      <c r="AZ238" s="135"/>
      <c r="BA238" s="135"/>
      <c r="BB238" s="135"/>
      <c r="BC238" s="135"/>
      <c r="BD238" s="135"/>
      <c r="BE238" s="135"/>
      <c r="BF238" s="135"/>
      <c r="BG238" s="135"/>
      <c r="BH238" s="135"/>
      <c r="BI238" s="135"/>
      <c r="BJ238" s="135"/>
      <c r="BK238" s="135"/>
      <c r="BL238" s="135"/>
    </row>
    <row r="239" spans="1:64">
      <c r="A239" s="135"/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  <c r="AA239" s="135"/>
      <c r="AB239" s="135"/>
      <c r="AC239" s="135"/>
      <c r="AD239" s="135"/>
      <c r="AE239" s="135"/>
      <c r="AF239" s="135"/>
      <c r="AG239" s="135"/>
      <c r="AH239" s="135"/>
      <c r="AI239" s="135"/>
      <c r="AJ239" s="135"/>
      <c r="AK239" s="135"/>
      <c r="AL239" s="135"/>
      <c r="AM239" s="135"/>
      <c r="AN239" s="135"/>
      <c r="AO239" s="135"/>
      <c r="AP239" s="135"/>
      <c r="AQ239" s="135"/>
      <c r="AR239" s="135"/>
      <c r="AS239" s="135"/>
      <c r="AT239" s="135"/>
      <c r="AU239" s="135"/>
      <c r="AV239" s="135"/>
      <c r="AW239" s="135"/>
      <c r="AX239" s="135"/>
      <c r="AY239" s="135"/>
      <c r="AZ239" s="135"/>
      <c r="BA239" s="135"/>
      <c r="BB239" s="135"/>
      <c r="BC239" s="135"/>
      <c r="BD239" s="135"/>
      <c r="BE239" s="135"/>
      <c r="BF239" s="135"/>
      <c r="BG239" s="135"/>
      <c r="BH239" s="135"/>
      <c r="BI239" s="135"/>
      <c r="BJ239" s="135"/>
      <c r="BK239" s="135"/>
      <c r="BL239" s="135"/>
    </row>
    <row r="240" spans="1:64">
      <c r="A240" s="135"/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  <c r="AA240" s="135"/>
      <c r="AB240" s="135"/>
      <c r="AC240" s="135"/>
      <c r="AD240" s="135"/>
      <c r="AE240" s="135"/>
      <c r="AF240" s="135"/>
      <c r="AG240" s="135"/>
      <c r="AH240" s="135"/>
      <c r="AI240" s="135"/>
      <c r="AJ240" s="135"/>
      <c r="AK240" s="135"/>
      <c r="AL240" s="135"/>
      <c r="AM240" s="135"/>
      <c r="AN240" s="135"/>
      <c r="AO240" s="135"/>
      <c r="AP240" s="135"/>
      <c r="AQ240" s="135"/>
      <c r="AR240" s="135"/>
      <c r="AS240" s="135"/>
      <c r="AT240" s="135"/>
      <c r="AU240" s="135"/>
      <c r="AV240" s="135"/>
      <c r="AW240" s="135"/>
      <c r="AX240" s="135"/>
      <c r="AY240" s="135"/>
      <c r="AZ240" s="135"/>
      <c r="BA240" s="135"/>
      <c r="BB240" s="135"/>
      <c r="BC240" s="135"/>
      <c r="BD240" s="135"/>
      <c r="BE240" s="135"/>
      <c r="BF240" s="135"/>
      <c r="BG240" s="135"/>
      <c r="BH240" s="135"/>
      <c r="BI240" s="135"/>
      <c r="BJ240" s="135"/>
      <c r="BK240" s="135"/>
      <c r="BL240" s="135"/>
    </row>
    <row r="241" spans="1:64">
      <c r="A241" s="135"/>
      <c r="B241" s="135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  <c r="AA241" s="135"/>
      <c r="AB241" s="135"/>
      <c r="AC241" s="135"/>
      <c r="AD241" s="135"/>
      <c r="AE241" s="135"/>
      <c r="AF241" s="135"/>
      <c r="AG241" s="135"/>
      <c r="AH241" s="135"/>
      <c r="AI241" s="135"/>
      <c r="AJ241" s="135"/>
      <c r="AK241" s="135"/>
      <c r="AL241" s="135"/>
      <c r="AM241" s="135"/>
      <c r="AN241" s="135"/>
      <c r="AO241" s="135"/>
      <c r="AP241" s="135"/>
      <c r="AQ241" s="135"/>
      <c r="AR241" s="135"/>
      <c r="AS241" s="135"/>
      <c r="AT241" s="135"/>
      <c r="AU241" s="135"/>
      <c r="AV241" s="135"/>
      <c r="AW241" s="135"/>
      <c r="AX241" s="135"/>
      <c r="AY241" s="135"/>
      <c r="AZ241" s="135"/>
      <c r="BA241" s="135"/>
      <c r="BB241" s="135"/>
      <c r="BC241" s="135"/>
      <c r="BD241" s="135"/>
      <c r="BE241" s="135"/>
      <c r="BF241" s="135"/>
      <c r="BG241" s="135"/>
      <c r="BH241" s="135"/>
      <c r="BI241" s="135"/>
      <c r="BJ241" s="135"/>
      <c r="BK241" s="135"/>
      <c r="BL241" s="135"/>
    </row>
    <row r="242" spans="1:64">
      <c r="A242" s="135"/>
      <c r="B242" s="135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  <c r="AA242" s="135"/>
      <c r="AB242" s="135"/>
      <c r="AC242" s="135"/>
      <c r="AD242" s="135"/>
      <c r="AE242" s="135"/>
      <c r="AF242" s="135"/>
      <c r="AG242" s="135"/>
      <c r="AH242" s="135"/>
      <c r="AI242" s="135"/>
      <c r="AJ242" s="135"/>
      <c r="AK242" s="135"/>
      <c r="AL242" s="135"/>
      <c r="AM242" s="135"/>
      <c r="AN242" s="135"/>
      <c r="AO242" s="135"/>
      <c r="AP242" s="135"/>
      <c r="AQ242" s="135"/>
      <c r="AR242" s="135"/>
      <c r="AS242" s="135"/>
      <c r="AT242" s="135"/>
      <c r="AU242" s="135"/>
      <c r="AV242" s="135"/>
      <c r="AW242" s="135"/>
      <c r="AX242" s="135"/>
      <c r="AY242" s="135"/>
      <c r="AZ242" s="135"/>
      <c r="BA242" s="135"/>
      <c r="BB242" s="135"/>
      <c r="BC242" s="135"/>
      <c r="BD242" s="135"/>
      <c r="BE242" s="135"/>
      <c r="BF242" s="135"/>
      <c r="BG242" s="135"/>
      <c r="BH242" s="135"/>
      <c r="BI242" s="135"/>
      <c r="BJ242" s="135"/>
      <c r="BK242" s="135"/>
      <c r="BL242" s="135"/>
    </row>
    <row r="243" spans="1:64">
      <c r="A243" s="135"/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  <c r="AA243" s="135"/>
      <c r="AB243" s="135"/>
      <c r="AC243" s="135"/>
      <c r="AD243" s="135"/>
      <c r="AE243" s="135"/>
      <c r="AF243" s="135"/>
      <c r="AG243" s="135"/>
      <c r="AH243" s="135"/>
      <c r="AI243" s="135"/>
      <c r="AJ243" s="135"/>
      <c r="AK243" s="135"/>
      <c r="AL243" s="135"/>
      <c r="AM243" s="135"/>
      <c r="AN243" s="135"/>
      <c r="AO243" s="135"/>
      <c r="AP243" s="135"/>
      <c r="AQ243" s="135"/>
      <c r="AR243" s="135"/>
      <c r="AS243" s="135"/>
      <c r="AT243" s="135"/>
      <c r="AU243" s="135"/>
      <c r="AV243" s="135"/>
      <c r="AW243" s="135"/>
      <c r="AX243" s="135"/>
      <c r="AY243" s="135"/>
      <c r="AZ243" s="135"/>
      <c r="BA243" s="135"/>
      <c r="BB243" s="135"/>
      <c r="BC243" s="135"/>
      <c r="BD243" s="135"/>
      <c r="BE243" s="135"/>
      <c r="BF243" s="135"/>
      <c r="BG243" s="135"/>
      <c r="BH243" s="135"/>
      <c r="BI243" s="135"/>
      <c r="BJ243" s="135"/>
      <c r="BK243" s="135"/>
      <c r="BL243" s="135"/>
    </row>
    <row r="244" spans="1:64">
      <c r="A244" s="135"/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  <c r="AA244" s="135"/>
      <c r="AB244" s="135"/>
      <c r="AC244" s="135"/>
      <c r="AD244" s="135"/>
      <c r="AE244" s="135"/>
      <c r="AF244" s="135"/>
      <c r="AG244" s="135"/>
      <c r="AH244" s="135"/>
      <c r="AI244" s="135"/>
      <c r="AJ244" s="135"/>
      <c r="AK244" s="135"/>
      <c r="AL244" s="135"/>
      <c r="AM244" s="135"/>
      <c r="AN244" s="135"/>
      <c r="AO244" s="135"/>
      <c r="AP244" s="135"/>
      <c r="AQ244" s="135"/>
      <c r="AR244" s="135"/>
      <c r="AS244" s="135"/>
      <c r="AT244" s="135"/>
      <c r="AU244" s="135"/>
      <c r="AV244" s="135"/>
      <c r="AW244" s="135"/>
      <c r="AX244" s="135"/>
      <c r="AY244" s="135"/>
      <c r="AZ244" s="135"/>
      <c r="BA244" s="135"/>
      <c r="BB244" s="135"/>
      <c r="BC244" s="135"/>
      <c r="BD244" s="135"/>
      <c r="BE244" s="135"/>
      <c r="BF244" s="135"/>
      <c r="BG244" s="135"/>
      <c r="BH244" s="135"/>
      <c r="BI244" s="135"/>
      <c r="BJ244" s="135"/>
      <c r="BK244" s="135"/>
      <c r="BL244" s="135"/>
    </row>
    <row r="245" spans="1:64">
      <c r="A245" s="135"/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  <c r="AA245" s="135"/>
      <c r="AB245" s="135"/>
      <c r="AC245" s="135"/>
      <c r="AD245" s="135"/>
      <c r="AE245" s="135"/>
      <c r="AF245" s="135"/>
      <c r="AG245" s="135"/>
      <c r="AH245" s="135"/>
      <c r="AI245" s="135"/>
      <c r="AJ245" s="135"/>
      <c r="AK245" s="135"/>
      <c r="AL245" s="135"/>
      <c r="AM245" s="135"/>
      <c r="AN245" s="135"/>
      <c r="AO245" s="135"/>
      <c r="AP245" s="135"/>
      <c r="AQ245" s="135"/>
      <c r="AR245" s="135"/>
      <c r="AS245" s="135"/>
      <c r="AT245" s="135"/>
      <c r="AU245" s="135"/>
      <c r="AV245" s="135"/>
      <c r="AW245" s="135"/>
      <c r="AX245" s="135"/>
      <c r="AY245" s="135"/>
      <c r="AZ245" s="135"/>
      <c r="BA245" s="135"/>
      <c r="BB245" s="135"/>
      <c r="BC245" s="135"/>
      <c r="BD245" s="135"/>
      <c r="BE245" s="135"/>
      <c r="BF245" s="135"/>
      <c r="BG245" s="135"/>
      <c r="BH245" s="135"/>
      <c r="BI245" s="135"/>
      <c r="BJ245" s="135"/>
      <c r="BK245" s="135"/>
      <c r="BL245" s="135"/>
    </row>
    <row r="246" spans="1:64">
      <c r="A246" s="135"/>
      <c r="B246" s="135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  <c r="AA246" s="135"/>
      <c r="AB246" s="135"/>
      <c r="AC246" s="135"/>
      <c r="AD246" s="135"/>
      <c r="AE246" s="135"/>
      <c r="AF246" s="135"/>
      <c r="AG246" s="135"/>
      <c r="AH246" s="135"/>
      <c r="AI246" s="135"/>
      <c r="AJ246" s="135"/>
      <c r="AK246" s="135"/>
      <c r="AL246" s="135"/>
      <c r="AM246" s="135"/>
      <c r="AN246" s="135"/>
      <c r="AO246" s="135"/>
      <c r="AP246" s="135"/>
      <c r="AQ246" s="135"/>
      <c r="AR246" s="135"/>
      <c r="AS246" s="135"/>
      <c r="AT246" s="135"/>
      <c r="AU246" s="135"/>
      <c r="AV246" s="135"/>
      <c r="AW246" s="135"/>
      <c r="AX246" s="135"/>
      <c r="AY246" s="135"/>
      <c r="AZ246" s="135"/>
      <c r="BA246" s="135"/>
      <c r="BB246" s="135"/>
      <c r="BC246" s="135"/>
      <c r="BD246" s="135"/>
      <c r="BE246" s="135"/>
      <c r="BF246" s="135"/>
      <c r="BG246" s="135"/>
      <c r="BH246" s="135"/>
      <c r="BI246" s="135"/>
      <c r="BJ246" s="135"/>
      <c r="BK246" s="135"/>
      <c r="BL246" s="135"/>
    </row>
    <row r="247" spans="1:64">
      <c r="A247" s="135"/>
      <c r="B247" s="135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  <c r="AA247" s="135"/>
      <c r="AB247" s="135"/>
      <c r="AC247" s="135"/>
      <c r="AD247" s="135"/>
      <c r="AE247" s="135"/>
      <c r="AF247" s="135"/>
      <c r="AG247" s="135"/>
      <c r="AH247" s="135"/>
      <c r="AI247" s="135"/>
      <c r="AJ247" s="135"/>
      <c r="AK247" s="135"/>
      <c r="AL247" s="135"/>
      <c r="AM247" s="135"/>
      <c r="AN247" s="135"/>
      <c r="AO247" s="135"/>
      <c r="AP247" s="135"/>
      <c r="AQ247" s="135"/>
      <c r="AR247" s="135"/>
      <c r="AS247" s="135"/>
      <c r="AT247" s="135"/>
      <c r="AU247" s="135"/>
      <c r="AV247" s="135"/>
      <c r="AW247" s="135"/>
      <c r="AX247" s="135"/>
      <c r="AY247" s="135"/>
      <c r="AZ247" s="135"/>
      <c r="BA247" s="135"/>
      <c r="BB247" s="135"/>
      <c r="BC247" s="135"/>
      <c r="BD247" s="135"/>
      <c r="BE247" s="135"/>
      <c r="BF247" s="135"/>
      <c r="BG247" s="135"/>
      <c r="BH247" s="135"/>
      <c r="BI247" s="135"/>
      <c r="BJ247" s="135"/>
      <c r="BK247" s="135"/>
      <c r="BL247" s="135"/>
    </row>
    <row r="248" spans="1:64">
      <c r="A248" s="135"/>
      <c r="B248" s="135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  <c r="AA248" s="135"/>
      <c r="AB248" s="135"/>
      <c r="AC248" s="135"/>
      <c r="AD248" s="135"/>
      <c r="AE248" s="135"/>
      <c r="AF248" s="135"/>
      <c r="AG248" s="135"/>
      <c r="AH248" s="135"/>
      <c r="AI248" s="135"/>
      <c r="AJ248" s="135"/>
      <c r="AK248" s="135"/>
      <c r="AL248" s="135"/>
      <c r="AM248" s="135"/>
      <c r="AN248" s="135"/>
      <c r="AO248" s="135"/>
      <c r="AP248" s="135"/>
      <c r="AQ248" s="135"/>
      <c r="AR248" s="135"/>
      <c r="AS248" s="135"/>
      <c r="AT248" s="135"/>
      <c r="AU248" s="135"/>
      <c r="AV248" s="135"/>
      <c r="AW248" s="135"/>
      <c r="AX248" s="135"/>
      <c r="AY248" s="135"/>
      <c r="AZ248" s="135"/>
      <c r="BA248" s="135"/>
      <c r="BB248" s="135"/>
      <c r="BC248" s="135"/>
      <c r="BD248" s="135"/>
      <c r="BE248" s="135"/>
      <c r="BF248" s="135"/>
      <c r="BG248" s="135"/>
      <c r="BH248" s="135"/>
      <c r="BI248" s="135"/>
      <c r="BJ248" s="135"/>
      <c r="BK248" s="135"/>
      <c r="BL248" s="135"/>
    </row>
    <row r="249" spans="1:64">
      <c r="A249" s="135"/>
      <c r="B249" s="135"/>
      <c r="C249" s="135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  <c r="AA249" s="135"/>
      <c r="AB249" s="135"/>
      <c r="AC249" s="135"/>
      <c r="AD249" s="135"/>
      <c r="AE249" s="135"/>
      <c r="AF249" s="135"/>
      <c r="AG249" s="135"/>
      <c r="AH249" s="135"/>
      <c r="AI249" s="135"/>
      <c r="AJ249" s="135"/>
      <c r="AK249" s="135"/>
      <c r="AL249" s="135"/>
      <c r="AM249" s="135"/>
      <c r="AN249" s="135"/>
      <c r="AO249" s="135"/>
      <c r="AP249" s="135"/>
      <c r="AQ249" s="135"/>
      <c r="AR249" s="135"/>
      <c r="AS249" s="135"/>
      <c r="AT249" s="135"/>
      <c r="AU249" s="135"/>
      <c r="AV249" s="135"/>
      <c r="AW249" s="135"/>
      <c r="AX249" s="135"/>
      <c r="AY249" s="135"/>
      <c r="AZ249" s="135"/>
      <c r="BA249" s="135"/>
      <c r="BB249" s="135"/>
      <c r="BC249" s="135"/>
      <c r="BD249" s="135"/>
      <c r="BE249" s="135"/>
      <c r="BF249" s="135"/>
      <c r="BG249" s="135"/>
      <c r="BH249" s="135"/>
      <c r="BI249" s="135"/>
      <c r="BJ249" s="135"/>
      <c r="BK249" s="135"/>
      <c r="BL249" s="135"/>
    </row>
    <row r="250" spans="1:64">
      <c r="A250" s="135"/>
      <c r="B250" s="135"/>
      <c r="C250" s="135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  <c r="AA250" s="135"/>
      <c r="AB250" s="135"/>
      <c r="AC250" s="135"/>
      <c r="AD250" s="135"/>
      <c r="AE250" s="135"/>
      <c r="AF250" s="135"/>
      <c r="AG250" s="135"/>
      <c r="AH250" s="135"/>
      <c r="AI250" s="135"/>
      <c r="AJ250" s="135"/>
      <c r="AK250" s="135"/>
      <c r="AL250" s="135"/>
      <c r="AM250" s="135"/>
      <c r="AN250" s="135"/>
      <c r="AO250" s="135"/>
      <c r="AP250" s="135"/>
      <c r="AQ250" s="135"/>
      <c r="AR250" s="135"/>
      <c r="AS250" s="135"/>
      <c r="AT250" s="135"/>
      <c r="AU250" s="135"/>
      <c r="AV250" s="135"/>
      <c r="AW250" s="135"/>
      <c r="AX250" s="135"/>
      <c r="AY250" s="135"/>
      <c r="AZ250" s="135"/>
      <c r="BA250" s="135"/>
      <c r="BB250" s="135"/>
      <c r="BC250" s="135"/>
      <c r="BD250" s="135"/>
      <c r="BE250" s="135"/>
      <c r="BF250" s="135"/>
      <c r="BG250" s="135"/>
      <c r="BH250" s="135"/>
      <c r="BI250" s="135"/>
      <c r="BJ250" s="135"/>
      <c r="BK250" s="135"/>
      <c r="BL250" s="135"/>
    </row>
    <row r="251" spans="1:64">
      <c r="A251" s="135"/>
      <c r="B251" s="135"/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  <c r="AA251" s="135"/>
      <c r="AB251" s="135"/>
      <c r="AC251" s="135"/>
      <c r="AD251" s="135"/>
      <c r="AE251" s="135"/>
      <c r="AF251" s="135"/>
      <c r="AG251" s="135"/>
      <c r="AH251" s="135"/>
      <c r="AI251" s="135"/>
      <c r="AJ251" s="135"/>
      <c r="AK251" s="135"/>
      <c r="AL251" s="135"/>
      <c r="AM251" s="135"/>
      <c r="AN251" s="135"/>
      <c r="AO251" s="135"/>
      <c r="AP251" s="135"/>
      <c r="AQ251" s="135"/>
      <c r="AR251" s="135"/>
      <c r="AS251" s="135"/>
      <c r="AT251" s="135"/>
      <c r="AU251" s="135"/>
      <c r="AV251" s="135"/>
      <c r="AW251" s="135"/>
      <c r="AX251" s="135"/>
      <c r="AY251" s="135"/>
      <c r="AZ251" s="135"/>
      <c r="BA251" s="135"/>
      <c r="BB251" s="135"/>
      <c r="BC251" s="135"/>
      <c r="BD251" s="135"/>
      <c r="BE251" s="135"/>
      <c r="BF251" s="135"/>
      <c r="BG251" s="135"/>
      <c r="BH251" s="135"/>
      <c r="BI251" s="135"/>
      <c r="BJ251" s="135"/>
      <c r="BK251" s="135"/>
      <c r="BL251" s="135"/>
    </row>
    <row r="252" spans="1:64">
      <c r="A252" s="135"/>
      <c r="B252" s="135"/>
      <c r="C252" s="135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  <c r="AA252" s="135"/>
      <c r="AB252" s="135"/>
      <c r="AC252" s="135"/>
      <c r="AD252" s="135"/>
      <c r="AE252" s="135"/>
      <c r="AF252" s="135"/>
      <c r="AG252" s="135"/>
      <c r="AH252" s="135"/>
      <c r="AI252" s="135"/>
      <c r="AJ252" s="135"/>
      <c r="AK252" s="135"/>
      <c r="AL252" s="135"/>
      <c r="AM252" s="135"/>
      <c r="AN252" s="135"/>
      <c r="AO252" s="135"/>
      <c r="AP252" s="135"/>
      <c r="AQ252" s="135"/>
      <c r="AR252" s="135"/>
      <c r="AS252" s="135"/>
      <c r="AT252" s="135"/>
      <c r="AU252" s="135"/>
      <c r="AV252" s="135"/>
      <c r="AW252" s="135"/>
      <c r="AX252" s="135"/>
      <c r="AY252" s="135"/>
      <c r="AZ252" s="135"/>
      <c r="BA252" s="135"/>
      <c r="BB252" s="135"/>
      <c r="BC252" s="135"/>
      <c r="BD252" s="135"/>
      <c r="BE252" s="135"/>
      <c r="BF252" s="135"/>
      <c r="BG252" s="135"/>
      <c r="BH252" s="135"/>
      <c r="BI252" s="135"/>
      <c r="BJ252" s="135"/>
      <c r="BK252" s="135"/>
      <c r="BL252" s="135"/>
    </row>
    <row r="253" spans="1:64">
      <c r="A253" s="135"/>
      <c r="B253" s="135"/>
      <c r="C253" s="135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  <c r="AA253" s="135"/>
      <c r="AB253" s="135"/>
      <c r="AC253" s="135"/>
      <c r="AD253" s="135"/>
      <c r="AE253" s="135"/>
      <c r="AF253" s="135"/>
      <c r="AG253" s="135"/>
      <c r="AH253" s="135"/>
      <c r="AI253" s="135"/>
      <c r="AJ253" s="135"/>
      <c r="AK253" s="135"/>
      <c r="AL253" s="135"/>
      <c r="AM253" s="135"/>
      <c r="AN253" s="135"/>
      <c r="AO253" s="135"/>
      <c r="AP253" s="135"/>
      <c r="AQ253" s="135"/>
      <c r="AR253" s="135"/>
      <c r="AS253" s="135"/>
      <c r="AT253" s="135"/>
      <c r="AU253" s="135"/>
      <c r="AV253" s="135"/>
      <c r="AW253" s="135"/>
      <c r="AX253" s="135"/>
      <c r="AY253" s="135"/>
      <c r="AZ253" s="135"/>
      <c r="BA253" s="135"/>
      <c r="BB253" s="135"/>
      <c r="BC253" s="135"/>
      <c r="BD253" s="135"/>
      <c r="BE253" s="135"/>
      <c r="BF253" s="135"/>
      <c r="BG253" s="135"/>
      <c r="BH253" s="135"/>
      <c r="BI253" s="135"/>
      <c r="BJ253" s="135"/>
      <c r="BK253" s="135"/>
      <c r="BL253" s="135"/>
    </row>
  </sheetData>
  <sheetProtection password="8A9F" sheet="1" objects="1" scenarios="1"/>
  <mergeCells count="21">
    <mergeCell ref="L1:M1"/>
    <mergeCell ref="L2:M2"/>
    <mergeCell ref="L3:M3"/>
    <mergeCell ref="L4:M4"/>
    <mergeCell ref="B23:C24"/>
    <mergeCell ref="B7:C8"/>
    <mergeCell ref="J12:J13"/>
    <mergeCell ref="L12:L13"/>
    <mergeCell ref="E7:G8"/>
    <mergeCell ref="I12:I13"/>
    <mergeCell ref="J123:J124"/>
    <mergeCell ref="L123:L124"/>
    <mergeCell ref="B48:C49"/>
    <mergeCell ref="F12:F13"/>
    <mergeCell ref="E12:E13"/>
    <mergeCell ref="G12:G13"/>
    <mergeCell ref="E118:G119"/>
    <mergeCell ref="E123:E124"/>
    <mergeCell ref="F123:F124"/>
    <mergeCell ref="G123:G124"/>
    <mergeCell ref="I123:I124"/>
  </mergeCells>
  <phoneticPr fontId="34" type="noConversion"/>
  <conditionalFormatting sqref="P78:R97">
    <cfRule type="expression" dxfId="6" priority="17">
      <formula>$P78=$C$29</formula>
    </cfRule>
  </conditionalFormatting>
  <conditionalFormatting sqref="P16:Q25">
    <cfRule type="expression" dxfId="5" priority="10">
      <formula>$O16=$C$29</formula>
    </cfRule>
  </conditionalFormatting>
  <conditionalFormatting sqref="T16:U25">
    <cfRule type="expression" dxfId="4" priority="8">
      <formula>$S16=$C$29</formula>
    </cfRule>
  </conditionalFormatting>
  <conditionalFormatting sqref="Z16:AA16 AA17:AA65">
    <cfRule type="expression" dxfId="3" priority="5">
      <formula>$Y16=$C$29</formula>
    </cfRule>
  </conditionalFormatting>
  <conditionalFormatting sqref="AD16:AE16 AE17:AE65">
    <cfRule type="expression" dxfId="2" priority="3">
      <formula>$AC16=$C$29</formula>
    </cfRule>
  </conditionalFormatting>
  <conditionalFormatting sqref="AD17:AD65">
    <cfRule type="expression" dxfId="1" priority="2">
      <formula>$AC17=$C$29</formula>
    </cfRule>
  </conditionalFormatting>
  <conditionalFormatting sqref="Z17:Z65">
    <cfRule type="expression" dxfId="0" priority="1">
      <formula>$Y17=$C$29</formula>
    </cfRule>
  </conditionalFormatting>
  <printOptions horizontalCentered="1" verticalCentered="1"/>
  <pageMargins left="0.2" right="0.2" top="0.5" bottom="0.25" header="0.25" footer="0.25"/>
  <pageSetup scale="65" orientation="portrait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Equation.3" shapeId="25602" r:id="rId3">
          <objectPr defaultSize="0" autoPict="0" r:id="rId4">
            <anchor moveWithCells="1">
              <from>
                <xdr:col>16</xdr:col>
                <xdr:colOff>215900</xdr:colOff>
                <xdr:row>1</xdr:row>
                <xdr:rowOff>165100</xdr:rowOff>
              </from>
              <to>
                <xdr:col>18</xdr:col>
                <xdr:colOff>546100</xdr:colOff>
                <xdr:row>5</xdr:row>
                <xdr:rowOff>12700</xdr:rowOff>
              </to>
            </anchor>
          </objectPr>
        </oleObject>
      </mc:Choice>
      <mc:Fallback>
        <oleObject progId="Equation.3" shapeId="25602" r:id="rId3"/>
      </mc:Fallback>
    </mc:AlternateContent>
    <mc:AlternateContent xmlns:mc="http://schemas.openxmlformats.org/markup-compatibility/2006">
      <mc:Choice Requires="x14">
        <oleObject progId="Equation.3" shapeId="25690" r:id="rId5">
          <objectPr defaultSize="0" autoPict="0" r:id="rId6">
            <anchor moveWithCells="1">
              <from>
                <xdr:col>14</xdr:col>
                <xdr:colOff>393700</xdr:colOff>
                <xdr:row>5</xdr:row>
                <xdr:rowOff>165100</xdr:rowOff>
              </from>
              <to>
                <xdr:col>20</xdr:col>
                <xdr:colOff>342900</xdr:colOff>
                <xdr:row>10</xdr:row>
                <xdr:rowOff>76200</xdr:rowOff>
              </to>
            </anchor>
          </objectPr>
        </oleObject>
      </mc:Choice>
      <mc:Fallback>
        <oleObject progId="Equation.3" shapeId="25690" r:id="rId5"/>
      </mc:Fallback>
    </mc:AlternateContent>
    <mc:AlternateContent xmlns:mc="http://schemas.openxmlformats.org/markup-compatibility/2006">
      <mc:Choice Requires="x14">
        <oleObject progId="Equation.3" shapeId="25711" r:id="rId7">
          <objectPr defaultSize="0" r:id="rId8">
            <anchor moveWithCells="1">
              <from>
                <xdr:col>6</xdr:col>
                <xdr:colOff>1054100</xdr:colOff>
                <xdr:row>10</xdr:row>
                <xdr:rowOff>101600</xdr:rowOff>
              </from>
              <to>
                <xdr:col>9</xdr:col>
                <xdr:colOff>38100</xdr:colOff>
                <xdr:row>13</xdr:row>
                <xdr:rowOff>63500</xdr:rowOff>
              </to>
            </anchor>
          </objectPr>
        </oleObject>
      </mc:Choice>
      <mc:Fallback>
        <oleObject progId="Equation.3" shapeId="25711" r:id="rId7"/>
      </mc:Fallback>
    </mc:AlternateContent>
    <mc:AlternateContent xmlns:mc="http://schemas.openxmlformats.org/markup-compatibility/2006">
      <mc:Choice Requires="x14">
        <oleObject progId="Equation.3" shapeId="25733" r:id="rId9">
          <objectPr defaultSize="0" r:id="rId8">
            <anchor moveWithCells="1">
              <from>
                <xdr:col>6</xdr:col>
                <xdr:colOff>1054100</xdr:colOff>
                <xdr:row>121</xdr:row>
                <xdr:rowOff>101600</xdr:rowOff>
              </from>
              <to>
                <xdr:col>9</xdr:col>
                <xdr:colOff>38100</xdr:colOff>
                <xdr:row>124</xdr:row>
                <xdr:rowOff>114300</xdr:rowOff>
              </to>
            </anchor>
          </objectPr>
        </oleObject>
      </mc:Choice>
      <mc:Fallback>
        <oleObject progId="Equation.3" shapeId="25733" r:id="rId9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AI152"/>
  <sheetViews>
    <sheetView showRuler="0" zoomScale="75" workbookViewId="0">
      <selection activeCell="D8" sqref="D8"/>
    </sheetView>
  </sheetViews>
  <sheetFormatPr baseColWidth="10" defaultColWidth="8.83203125" defaultRowHeight="12" x14ac:dyDescent="0"/>
  <cols>
    <col min="1" max="1" width="8.83203125" style="14"/>
    <col min="2" max="3" width="10.6640625" style="14" customWidth="1"/>
    <col min="4" max="4" width="17.6640625" style="14" customWidth="1"/>
    <col min="5" max="12" width="12.6640625" style="14" customWidth="1"/>
    <col min="13" max="15" width="13.5" style="14" customWidth="1"/>
    <col min="16" max="17" width="12.1640625" style="14" customWidth="1"/>
    <col min="18" max="25" width="8.83203125" style="14"/>
    <col min="26" max="26" width="10.5" style="14" bestFit="1" customWidth="1"/>
    <col min="27" max="28" width="8.83203125" style="14"/>
    <col min="29" max="29" width="14" style="14" customWidth="1"/>
    <col min="30" max="257" width="8.83203125" style="14"/>
    <col min="258" max="264" width="10.6640625" style="14" customWidth="1"/>
    <col min="265" max="265" width="13.33203125" style="14" bestFit="1" customWidth="1"/>
    <col min="266" max="266" width="12.1640625" style="14" customWidth="1"/>
    <col min="267" max="267" width="12.83203125" style="14" customWidth="1"/>
    <col min="268" max="268" width="12.1640625" style="14" customWidth="1"/>
    <col min="269" max="271" width="13.5" style="14" customWidth="1"/>
    <col min="272" max="273" width="12.1640625" style="14" customWidth="1"/>
    <col min="274" max="281" width="8.83203125" style="14"/>
    <col min="282" max="282" width="10.5" style="14" bestFit="1" customWidth="1"/>
    <col min="283" max="284" width="8.83203125" style="14"/>
    <col min="285" max="285" width="14" style="14" customWidth="1"/>
    <col min="286" max="513" width="8.83203125" style="14"/>
    <col min="514" max="520" width="10.6640625" style="14" customWidth="1"/>
    <col min="521" max="521" width="13.33203125" style="14" bestFit="1" customWidth="1"/>
    <col min="522" max="522" width="12.1640625" style="14" customWidth="1"/>
    <col min="523" max="523" width="12.83203125" style="14" customWidth="1"/>
    <col min="524" max="524" width="12.1640625" style="14" customWidth="1"/>
    <col min="525" max="527" width="13.5" style="14" customWidth="1"/>
    <col min="528" max="529" width="12.1640625" style="14" customWidth="1"/>
    <col min="530" max="537" width="8.83203125" style="14"/>
    <col min="538" max="538" width="10.5" style="14" bestFit="1" customWidth="1"/>
    <col min="539" max="540" width="8.83203125" style="14"/>
    <col min="541" max="541" width="14" style="14" customWidth="1"/>
    <col min="542" max="769" width="8.83203125" style="14"/>
    <col min="770" max="776" width="10.6640625" style="14" customWidth="1"/>
    <col min="777" max="777" width="13.33203125" style="14" bestFit="1" customWidth="1"/>
    <col min="778" max="778" width="12.1640625" style="14" customWidth="1"/>
    <col min="779" max="779" width="12.83203125" style="14" customWidth="1"/>
    <col min="780" max="780" width="12.1640625" style="14" customWidth="1"/>
    <col min="781" max="783" width="13.5" style="14" customWidth="1"/>
    <col min="784" max="785" width="12.1640625" style="14" customWidth="1"/>
    <col min="786" max="793" width="8.83203125" style="14"/>
    <col min="794" max="794" width="10.5" style="14" bestFit="1" customWidth="1"/>
    <col min="795" max="796" width="8.83203125" style="14"/>
    <col min="797" max="797" width="14" style="14" customWidth="1"/>
    <col min="798" max="1025" width="8.83203125" style="14"/>
    <col min="1026" max="1032" width="10.6640625" style="14" customWidth="1"/>
    <col min="1033" max="1033" width="13.33203125" style="14" bestFit="1" customWidth="1"/>
    <col min="1034" max="1034" width="12.1640625" style="14" customWidth="1"/>
    <col min="1035" max="1035" width="12.83203125" style="14" customWidth="1"/>
    <col min="1036" max="1036" width="12.1640625" style="14" customWidth="1"/>
    <col min="1037" max="1039" width="13.5" style="14" customWidth="1"/>
    <col min="1040" max="1041" width="12.1640625" style="14" customWidth="1"/>
    <col min="1042" max="1049" width="8.83203125" style="14"/>
    <col min="1050" max="1050" width="10.5" style="14" bestFit="1" customWidth="1"/>
    <col min="1051" max="1052" width="8.83203125" style="14"/>
    <col min="1053" max="1053" width="14" style="14" customWidth="1"/>
    <col min="1054" max="1281" width="8.83203125" style="14"/>
    <col min="1282" max="1288" width="10.6640625" style="14" customWidth="1"/>
    <col min="1289" max="1289" width="13.33203125" style="14" bestFit="1" customWidth="1"/>
    <col min="1290" max="1290" width="12.1640625" style="14" customWidth="1"/>
    <col min="1291" max="1291" width="12.83203125" style="14" customWidth="1"/>
    <col min="1292" max="1292" width="12.1640625" style="14" customWidth="1"/>
    <col min="1293" max="1295" width="13.5" style="14" customWidth="1"/>
    <col min="1296" max="1297" width="12.1640625" style="14" customWidth="1"/>
    <col min="1298" max="1305" width="8.83203125" style="14"/>
    <col min="1306" max="1306" width="10.5" style="14" bestFit="1" customWidth="1"/>
    <col min="1307" max="1308" width="8.83203125" style="14"/>
    <col min="1309" max="1309" width="14" style="14" customWidth="1"/>
    <col min="1310" max="1537" width="8.83203125" style="14"/>
    <col min="1538" max="1544" width="10.6640625" style="14" customWidth="1"/>
    <col min="1545" max="1545" width="13.33203125" style="14" bestFit="1" customWidth="1"/>
    <col min="1546" max="1546" width="12.1640625" style="14" customWidth="1"/>
    <col min="1547" max="1547" width="12.83203125" style="14" customWidth="1"/>
    <col min="1548" max="1548" width="12.1640625" style="14" customWidth="1"/>
    <col min="1549" max="1551" width="13.5" style="14" customWidth="1"/>
    <col min="1552" max="1553" width="12.1640625" style="14" customWidth="1"/>
    <col min="1554" max="1561" width="8.83203125" style="14"/>
    <col min="1562" max="1562" width="10.5" style="14" bestFit="1" customWidth="1"/>
    <col min="1563" max="1564" width="8.83203125" style="14"/>
    <col min="1565" max="1565" width="14" style="14" customWidth="1"/>
    <col min="1566" max="1793" width="8.83203125" style="14"/>
    <col min="1794" max="1800" width="10.6640625" style="14" customWidth="1"/>
    <col min="1801" max="1801" width="13.33203125" style="14" bestFit="1" customWidth="1"/>
    <col min="1802" max="1802" width="12.1640625" style="14" customWidth="1"/>
    <col min="1803" max="1803" width="12.83203125" style="14" customWidth="1"/>
    <col min="1804" max="1804" width="12.1640625" style="14" customWidth="1"/>
    <col min="1805" max="1807" width="13.5" style="14" customWidth="1"/>
    <col min="1808" max="1809" width="12.1640625" style="14" customWidth="1"/>
    <col min="1810" max="1817" width="8.83203125" style="14"/>
    <col min="1818" max="1818" width="10.5" style="14" bestFit="1" customWidth="1"/>
    <col min="1819" max="1820" width="8.83203125" style="14"/>
    <col min="1821" max="1821" width="14" style="14" customWidth="1"/>
    <col min="1822" max="2049" width="8.83203125" style="14"/>
    <col min="2050" max="2056" width="10.6640625" style="14" customWidth="1"/>
    <col min="2057" max="2057" width="13.33203125" style="14" bestFit="1" customWidth="1"/>
    <col min="2058" max="2058" width="12.1640625" style="14" customWidth="1"/>
    <col min="2059" max="2059" width="12.83203125" style="14" customWidth="1"/>
    <col min="2060" max="2060" width="12.1640625" style="14" customWidth="1"/>
    <col min="2061" max="2063" width="13.5" style="14" customWidth="1"/>
    <col min="2064" max="2065" width="12.1640625" style="14" customWidth="1"/>
    <col min="2066" max="2073" width="8.83203125" style="14"/>
    <col min="2074" max="2074" width="10.5" style="14" bestFit="1" customWidth="1"/>
    <col min="2075" max="2076" width="8.83203125" style="14"/>
    <col min="2077" max="2077" width="14" style="14" customWidth="1"/>
    <col min="2078" max="2305" width="8.83203125" style="14"/>
    <col min="2306" max="2312" width="10.6640625" style="14" customWidth="1"/>
    <col min="2313" max="2313" width="13.33203125" style="14" bestFit="1" customWidth="1"/>
    <col min="2314" max="2314" width="12.1640625" style="14" customWidth="1"/>
    <col min="2315" max="2315" width="12.83203125" style="14" customWidth="1"/>
    <col min="2316" max="2316" width="12.1640625" style="14" customWidth="1"/>
    <col min="2317" max="2319" width="13.5" style="14" customWidth="1"/>
    <col min="2320" max="2321" width="12.1640625" style="14" customWidth="1"/>
    <col min="2322" max="2329" width="8.83203125" style="14"/>
    <col min="2330" max="2330" width="10.5" style="14" bestFit="1" customWidth="1"/>
    <col min="2331" max="2332" width="8.83203125" style="14"/>
    <col min="2333" max="2333" width="14" style="14" customWidth="1"/>
    <col min="2334" max="2561" width="8.83203125" style="14"/>
    <col min="2562" max="2568" width="10.6640625" style="14" customWidth="1"/>
    <col min="2569" max="2569" width="13.33203125" style="14" bestFit="1" customWidth="1"/>
    <col min="2570" max="2570" width="12.1640625" style="14" customWidth="1"/>
    <col min="2571" max="2571" width="12.83203125" style="14" customWidth="1"/>
    <col min="2572" max="2572" width="12.1640625" style="14" customWidth="1"/>
    <col min="2573" max="2575" width="13.5" style="14" customWidth="1"/>
    <col min="2576" max="2577" width="12.1640625" style="14" customWidth="1"/>
    <col min="2578" max="2585" width="8.83203125" style="14"/>
    <col min="2586" max="2586" width="10.5" style="14" bestFit="1" customWidth="1"/>
    <col min="2587" max="2588" width="8.83203125" style="14"/>
    <col min="2589" max="2589" width="14" style="14" customWidth="1"/>
    <col min="2590" max="2817" width="8.83203125" style="14"/>
    <col min="2818" max="2824" width="10.6640625" style="14" customWidth="1"/>
    <col min="2825" max="2825" width="13.33203125" style="14" bestFit="1" customWidth="1"/>
    <col min="2826" max="2826" width="12.1640625" style="14" customWidth="1"/>
    <col min="2827" max="2827" width="12.83203125" style="14" customWidth="1"/>
    <col min="2828" max="2828" width="12.1640625" style="14" customWidth="1"/>
    <col min="2829" max="2831" width="13.5" style="14" customWidth="1"/>
    <col min="2832" max="2833" width="12.1640625" style="14" customWidth="1"/>
    <col min="2834" max="2841" width="8.83203125" style="14"/>
    <col min="2842" max="2842" width="10.5" style="14" bestFit="1" customWidth="1"/>
    <col min="2843" max="2844" width="8.83203125" style="14"/>
    <col min="2845" max="2845" width="14" style="14" customWidth="1"/>
    <col min="2846" max="3073" width="8.83203125" style="14"/>
    <col min="3074" max="3080" width="10.6640625" style="14" customWidth="1"/>
    <col min="3081" max="3081" width="13.33203125" style="14" bestFit="1" customWidth="1"/>
    <col min="3082" max="3082" width="12.1640625" style="14" customWidth="1"/>
    <col min="3083" max="3083" width="12.83203125" style="14" customWidth="1"/>
    <col min="3084" max="3084" width="12.1640625" style="14" customWidth="1"/>
    <col min="3085" max="3087" width="13.5" style="14" customWidth="1"/>
    <col min="3088" max="3089" width="12.1640625" style="14" customWidth="1"/>
    <col min="3090" max="3097" width="8.83203125" style="14"/>
    <col min="3098" max="3098" width="10.5" style="14" bestFit="1" customWidth="1"/>
    <col min="3099" max="3100" width="8.83203125" style="14"/>
    <col min="3101" max="3101" width="14" style="14" customWidth="1"/>
    <col min="3102" max="3329" width="8.83203125" style="14"/>
    <col min="3330" max="3336" width="10.6640625" style="14" customWidth="1"/>
    <col min="3337" max="3337" width="13.33203125" style="14" bestFit="1" customWidth="1"/>
    <col min="3338" max="3338" width="12.1640625" style="14" customWidth="1"/>
    <col min="3339" max="3339" width="12.83203125" style="14" customWidth="1"/>
    <col min="3340" max="3340" width="12.1640625" style="14" customWidth="1"/>
    <col min="3341" max="3343" width="13.5" style="14" customWidth="1"/>
    <col min="3344" max="3345" width="12.1640625" style="14" customWidth="1"/>
    <col min="3346" max="3353" width="8.83203125" style="14"/>
    <col min="3354" max="3354" width="10.5" style="14" bestFit="1" customWidth="1"/>
    <col min="3355" max="3356" width="8.83203125" style="14"/>
    <col min="3357" max="3357" width="14" style="14" customWidth="1"/>
    <col min="3358" max="3585" width="8.83203125" style="14"/>
    <col min="3586" max="3592" width="10.6640625" style="14" customWidth="1"/>
    <col min="3593" max="3593" width="13.33203125" style="14" bestFit="1" customWidth="1"/>
    <col min="3594" max="3594" width="12.1640625" style="14" customWidth="1"/>
    <col min="3595" max="3595" width="12.83203125" style="14" customWidth="1"/>
    <col min="3596" max="3596" width="12.1640625" style="14" customWidth="1"/>
    <col min="3597" max="3599" width="13.5" style="14" customWidth="1"/>
    <col min="3600" max="3601" width="12.1640625" style="14" customWidth="1"/>
    <col min="3602" max="3609" width="8.83203125" style="14"/>
    <col min="3610" max="3610" width="10.5" style="14" bestFit="1" customWidth="1"/>
    <col min="3611" max="3612" width="8.83203125" style="14"/>
    <col min="3613" max="3613" width="14" style="14" customWidth="1"/>
    <col min="3614" max="3841" width="8.83203125" style="14"/>
    <col min="3842" max="3848" width="10.6640625" style="14" customWidth="1"/>
    <col min="3849" max="3849" width="13.33203125" style="14" bestFit="1" customWidth="1"/>
    <col min="3850" max="3850" width="12.1640625" style="14" customWidth="1"/>
    <col min="3851" max="3851" width="12.83203125" style="14" customWidth="1"/>
    <col min="3852" max="3852" width="12.1640625" style="14" customWidth="1"/>
    <col min="3853" max="3855" width="13.5" style="14" customWidth="1"/>
    <col min="3856" max="3857" width="12.1640625" style="14" customWidth="1"/>
    <col min="3858" max="3865" width="8.83203125" style="14"/>
    <col min="3866" max="3866" width="10.5" style="14" bestFit="1" customWidth="1"/>
    <col min="3867" max="3868" width="8.83203125" style="14"/>
    <col min="3869" max="3869" width="14" style="14" customWidth="1"/>
    <col min="3870" max="4097" width="8.83203125" style="14"/>
    <col min="4098" max="4104" width="10.6640625" style="14" customWidth="1"/>
    <col min="4105" max="4105" width="13.33203125" style="14" bestFit="1" customWidth="1"/>
    <col min="4106" max="4106" width="12.1640625" style="14" customWidth="1"/>
    <col min="4107" max="4107" width="12.83203125" style="14" customWidth="1"/>
    <col min="4108" max="4108" width="12.1640625" style="14" customWidth="1"/>
    <col min="4109" max="4111" width="13.5" style="14" customWidth="1"/>
    <col min="4112" max="4113" width="12.1640625" style="14" customWidth="1"/>
    <col min="4114" max="4121" width="8.83203125" style="14"/>
    <col min="4122" max="4122" width="10.5" style="14" bestFit="1" customWidth="1"/>
    <col min="4123" max="4124" width="8.83203125" style="14"/>
    <col min="4125" max="4125" width="14" style="14" customWidth="1"/>
    <col min="4126" max="4353" width="8.83203125" style="14"/>
    <col min="4354" max="4360" width="10.6640625" style="14" customWidth="1"/>
    <col min="4361" max="4361" width="13.33203125" style="14" bestFit="1" customWidth="1"/>
    <col min="4362" max="4362" width="12.1640625" style="14" customWidth="1"/>
    <col min="4363" max="4363" width="12.83203125" style="14" customWidth="1"/>
    <col min="4364" max="4364" width="12.1640625" style="14" customWidth="1"/>
    <col min="4365" max="4367" width="13.5" style="14" customWidth="1"/>
    <col min="4368" max="4369" width="12.1640625" style="14" customWidth="1"/>
    <col min="4370" max="4377" width="8.83203125" style="14"/>
    <col min="4378" max="4378" width="10.5" style="14" bestFit="1" customWidth="1"/>
    <col min="4379" max="4380" width="8.83203125" style="14"/>
    <col min="4381" max="4381" width="14" style="14" customWidth="1"/>
    <col min="4382" max="4609" width="8.83203125" style="14"/>
    <col min="4610" max="4616" width="10.6640625" style="14" customWidth="1"/>
    <col min="4617" max="4617" width="13.33203125" style="14" bestFit="1" customWidth="1"/>
    <col min="4618" max="4618" width="12.1640625" style="14" customWidth="1"/>
    <col min="4619" max="4619" width="12.83203125" style="14" customWidth="1"/>
    <col min="4620" max="4620" width="12.1640625" style="14" customWidth="1"/>
    <col min="4621" max="4623" width="13.5" style="14" customWidth="1"/>
    <col min="4624" max="4625" width="12.1640625" style="14" customWidth="1"/>
    <col min="4626" max="4633" width="8.83203125" style="14"/>
    <col min="4634" max="4634" width="10.5" style="14" bestFit="1" customWidth="1"/>
    <col min="4635" max="4636" width="8.83203125" style="14"/>
    <col min="4637" max="4637" width="14" style="14" customWidth="1"/>
    <col min="4638" max="4865" width="8.83203125" style="14"/>
    <col min="4866" max="4872" width="10.6640625" style="14" customWidth="1"/>
    <col min="4873" max="4873" width="13.33203125" style="14" bestFit="1" customWidth="1"/>
    <col min="4874" max="4874" width="12.1640625" style="14" customWidth="1"/>
    <col min="4875" max="4875" width="12.83203125" style="14" customWidth="1"/>
    <col min="4876" max="4876" width="12.1640625" style="14" customWidth="1"/>
    <col min="4877" max="4879" width="13.5" style="14" customWidth="1"/>
    <col min="4880" max="4881" width="12.1640625" style="14" customWidth="1"/>
    <col min="4882" max="4889" width="8.83203125" style="14"/>
    <col min="4890" max="4890" width="10.5" style="14" bestFit="1" customWidth="1"/>
    <col min="4891" max="4892" width="8.83203125" style="14"/>
    <col min="4893" max="4893" width="14" style="14" customWidth="1"/>
    <col min="4894" max="5121" width="8.83203125" style="14"/>
    <col min="5122" max="5128" width="10.6640625" style="14" customWidth="1"/>
    <col min="5129" max="5129" width="13.33203125" style="14" bestFit="1" customWidth="1"/>
    <col min="5130" max="5130" width="12.1640625" style="14" customWidth="1"/>
    <col min="5131" max="5131" width="12.83203125" style="14" customWidth="1"/>
    <col min="5132" max="5132" width="12.1640625" style="14" customWidth="1"/>
    <col min="5133" max="5135" width="13.5" style="14" customWidth="1"/>
    <col min="5136" max="5137" width="12.1640625" style="14" customWidth="1"/>
    <col min="5138" max="5145" width="8.83203125" style="14"/>
    <col min="5146" max="5146" width="10.5" style="14" bestFit="1" customWidth="1"/>
    <col min="5147" max="5148" width="8.83203125" style="14"/>
    <col min="5149" max="5149" width="14" style="14" customWidth="1"/>
    <col min="5150" max="5377" width="8.83203125" style="14"/>
    <col min="5378" max="5384" width="10.6640625" style="14" customWidth="1"/>
    <col min="5385" max="5385" width="13.33203125" style="14" bestFit="1" customWidth="1"/>
    <col min="5386" max="5386" width="12.1640625" style="14" customWidth="1"/>
    <col min="5387" max="5387" width="12.83203125" style="14" customWidth="1"/>
    <col min="5388" max="5388" width="12.1640625" style="14" customWidth="1"/>
    <col min="5389" max="5391" width="13.5" style="14" customWidth="1"/>
    <col min="5392" max="5393" width="12.1640625" style="14" customWidth="1"/>
    <col min="5394" max="5401" width="8.83203125" style="14"/>
    <col min="5402" max="5402" width="10.5" style="14" bestFit="1" customWidth="1"/>
    <col min="5403" max="5404" width="8.83203125" style="14"/>
    <col min="5405" max="5405" width="14" style="14" customWidth="1"/>
    <col min="5406" max="5633" width="8.83203125" style="14"/>
    <col min="5634" max="5640" width="10.6640625" style="14" customWidth="1"/>
    <col min="5641" max="5641" width="13.33203125" style="14" bestFit="1" customWidth="1"/>
    <col min="5642" max="5642" width="12.1640625" style="14" customWidth="1"/>
    <col min="5643" max="5643" width="12.83203125" style="14" customWidth="1"/>
    <col min="5644" max="5644" width="12.1640625" style="14" customWidth="1"/>
    <col min="5645" max="5647" width="13.5" style="14" customWidth="1"/>
    <col min="5648" max="5649" width="12.1640625" style="14" customWidth="1"/>
    <col min="5650" max="5657" width="8.83203125" style="14"/>
    <col min="5658" max="5658" width="10.5" style="14" bestFit="1" customWidth="1"/>
    <col min="5659" max="5660" width="8.83203125" style="14"/>
    <col min="5661" max="5661" width="14" style="14" customWidth="1"/>
    <col min="5662" max="5889" width="8.83203125" style="14"/>
    <col min="5890" max="5896" width="10.6640625" style="14" customWidth="1"/>
    <col min="5897" max="5897" width="13.33203125" style="14" bestFit="1" customWidth="1"/>
    <col min="5898" max="5898" width="12.1640625" style="14" customWidth="1"/>
    <col min="5899" max="5899" width="12.83203125" style="14" customWidth="1"/>
    <col min="5900" max="5900" width="12.1640625" style="14" customWidth="1"/>
    <col min="5901" max="5903" width="13.5" style="14" customWidth="1"/>
    <col min="5904" max="5905" width="12.1640625" style="14" customWidth="1"/>
    <col min="5906" max="5913" width="8.83203125" style="14"/>
    <col min="5914" max="5914" width="10.5" style="14" bestFit="1" customWidth="1"/>
    <col min="5915" max="5916" width="8.83203125" style="14"/>
    <col min="5917" max="5917" width="14" style="14" customWidth="1"/>
    <col min="5918" max="6145" width="8.83203125" style="14"/>
    <col min="6146" max="6152" width="10.6640625" style="14" customWidth="1"/>
    <col min="6153" max="6153" width="13.33203125" style="14" bestFit="1" customWidth="1"/>
    <col min="6154" max="6154" width="12.1640625" style="14" customWidth="1"/>
    <col min="6155" max="6155" width="12.83203125" style="14" customWidth="1"/>
    <col min="6156" max="6156" width="12.1640625" style="14" customWidth="1"/>
    <col min="6157" max="6159" width="13.5" style="14" customWidth="1"/>
    <col min="6160" max="6161" width="12.1640625" style="14" customWidth="1"/>
    <col min="6162" max="6169" width="8.83203125" style="14"/>
    <col min="6170" max="6170" width="10.5" style="14" bestFit="1" customWidth="1"/>
    <col min="6171" max="6172" width="8.83203125" style="14"/>
    <col min="6173" max="6173" width="14" style="14" customWidth="1"/>
    <col min="6174" max="6401" width="8.83203125" style="14"/>
    <col min="6402" max="6408" width="10.6640625" style="14" customWidth="1"/>
    <col min="6409" max="6409" width="13.33203125" style="14" bestFit="1" customWidth="1"/>
    <col min="6410" max="6410" width="12.1640625" style="14" customWidth="1"/>
    <col min="6411" max="6411" width="12.83203125" style="14" customWidth="1"/>
    <col min="6412" max="6412" width="12.1640625" style="14" customWidth="1"/>
    <col min="6413" max="6415" width="13.5" style="14" customWidth="1"/>
    <col min="6416" max="6417" width="12.1640625" style="14" customWidth="1"/>
    <col min="6418" max="6425" width="8.83203125" style="14"/>
    <col min="6426" max="6426" width="10.5" style="14" bestFit="1" customWidth="1"/>
    <col min="6427" max="6428" width="8.83203125" style="14"/>
    <col min="6429" max="6429" width="14" style="14" customWidth="1"/>
    <col min="6430" max="6657" width="8.83203125" style="14"/>
    <col min="6658" max="6664" width="10.6640625" style="14" customWidth="1"/>
    <col min="6665" max="6665" width="13.33203125" style="14" bestFit="1" customWidth="1"/>
    <col min="6666" max="6666" width="12.1640625" style="14" customWidth="1"/>
    <col min="6667" max="6667" width="12.83203125" style="14" customWidth="1"/>
    <col min="6668" max="6668" width="12.1640625" style="14" customWidth="1"/>
    <col min="6669" max="6671" width="13.5" style="14" customWidth="1"/>
    <col min="6672" max="6673" width="12.1640625" style="14" customWidth="1"/>
    <col min="6674" max="6681" width="8.83203125" style="14"/>
    <col min="6682" max="6682" width="10.5" style="14" bestFit="1" customWidth="1"/>
    <col min="6683" max="6684" width="8.83203125" style="14"/>
    <col min="6685" max="6685" width="14" style="14" customWidth="1"/>
    <col min="6686" max="6913" width="8.83203125" style="14"/>
    <col min="6914" max="6920" width="10.6640625" style="14" customWidth="1"/>
    <col min="6921" max="6921" width="13.33203125" style="14" bestFit="1" customWidth="1"/>
    <col min="6922" max="6922" width="12.1640625" style="14" customWidth="1"/>
    <col min="6923" max="6923" width="12.83203125" style="14" customWidth="1"/>
    <col min="6924" max="6924" width="12.1640625" style="14" customWidth="1"/>
    <col min="6925" max="6927" width="13.5" style="14" customWidth="1"/>
    <col min="6928" max="6929" width="12.1640625" style="14" customWidth="1"/>
    <col min="6930" max="6937" width="8.83203125" style="14"/>
    <col min="6938" max="6938" width="10.5" style="14" bestFit="1" customWidth="1"/>
    <col min="6939" max="6940" width="8.83203125" style="14"/>
    <col min="6941" max="6941" width="14" style="14" customWidth="1"/>
    <col min="6942" max="7169" width="8.83203125" style="14"/>
    <col min="7170" max="7176" width="10.6640625" style="14" customWidth="1"/>
    <col min="7177" max="7177" width="13.33203125" style="14" bestFit="1" customWidth="1"/>
    <col min="7178" max="7178" width="12.1640625" style="14" customWidth="1"/>
    <col min="7179" max="7179" width="12.83203125" style="14" customWidth="1"/>
    <col min="7180" max="7180" width="12.1640625" style="14" customWidth="1"/>
    <col min="7181" max="7183" width="13.5" style="14" customWidth="1"/>
    <col min="7184" max="7185" width="12.1640625" style="14" customWidth="1"/>
    <col min="7186" max="7193" width="8.83203125" style="14"/>
    <col min="7194" max="7194" width="10.5" style="14" bestFit="1" customWidth="1"/>
    <col min="7195" max="7196" width="8.83203125" style="14"/>
    <col min="7197" max="7197" width="14" style="14" customWidth="1"/>
    <col min="7198" max="7425" width="8.83203125" style="14"/>
    <col min="7426" max="7432" width="10.6640625" style="14" customWidth="1"/>
    <col min="7433" max="7433" width="13.33203125" style="14" bestFit="1" customWidth="1"/>
    <col min="7434" max="7434" width="12.1640625" style="14" customWidth="1"/>
    <col min="7435" max="7435" width="12.83203125" style="14" customWidth="1"/>
    <col min="7436" max="7436" width="12.1640625" style="14" customWidth="1"/>
    <col min="7437" max="7439" width="13.5" style="14" customWidth="1"/>
    <col min="7440" max="7441" width="12.1640625" style="14" customWidth="1"/>
    <col min="7442" max="7449" width="8.83203125" style="14"/>
    <col min="7450" max="7450" width="10.5" style="14" bestFit="1" customWidth="1"/>
    <col min="7451" max="7452" width="8.83203125" style="14"/>
    <col min="7453" max="7453" width="14" style="14" customWidth="1"/>
    <col min="7454" max="7681" width="8.83203125" style="14"/>
    <col min="7682" max="7688" width="10.6640625" style="14" customWidth="1"/>
    <col min="7689" max="7689" width="13.33203125" style="14" bestFit="1" customWidth="1"/>
    <col min="7690" max="7690" width="12.1640625" style="14" customWidth="1"/>
    <col min="7691" max="7691" width="12.83203125" style="14" customWidth="1"/>
    <col min="7692" max="7692" width="12.1640625" style="14" customWidth="1"/>
    <col min="7693" max="7695" width="13.5" style="14" customWidth="1"/>
    <col min="7696" max="7697" width="12.1640625" style="14" customWidth="1"/>
    <col min="7698" max="7705" width="8.83203125" style="14"/>
    <col min="7706" max="7706" width="10.5" style="14" bestFit="1" customWidth="1"/>
    <col min="7707" max="7708" width="8.83203125" style="14"/>
    <col min="7709" max="7709" width="14" style="14" customWidth="1"/>
    <col min="7710" max="7937" width="8.83203125" style="14"/>
    <col min="7938" max="7944" width="10.6640625" style="14" customWidth="1"/>
    <col min="7945" max="7945" width="13.33203125" style="14" bestFit="1" customWidth="1"/>
    <col min="7946" max="7946" width="12.1640625" style="14" customWidth="1"/>
    <col min="7947" max="7947" width="12.83203125" style="14" customWidth="1"/>
    <col min="7948" max="7948" width="12.1640625" style="14" customWidth="1"/>
    <col min="7949" max="7951" width="13.5" style="14" customWidth="1"/>
    <col min="7952" max="7953" width="12.1640625" style="14" customWidth="1"/>
    <col min="7954" max="7961" width="8.83203125" style="14"/>
    <col min="7962" max="7962" width="10.5" style="14" bestFit="1" customWidth="1"/>
    <col min="7963" max="7964" width="8.83203125" style="14"/>
    <col min="7965" max="7965" width="14" style="14" customWidth="1"/>
    <col min="7966" max="8193" width="8.83203125" style="14"/>
    <col min="8194" max="8200" width="10.6640625" style="14" customWidth="1"/>
    <col min="8201" max="8201" width="13.33203125" style="14" bestFit="1" customWidth="1"/>
    <col min="8202" max="8202" width="12.1640625" style="14" customWidth="1"/>
    <col min="8203" max="8203" width="12.83203125" style="14" customWidth="1"/>
    <col min="8204" max="8204" width="12.1640625" style="14" customWidth="1"/>
    <col min="8205" max="8207" width="13.5" style="14" customWidth="1"/>
    <col min="8208" max="8209" width="12.1640625" style="14" customWidth="1"/>
    <col min="8210" max="8217" width="8.83203125" style="14"/>
    <col min="8218" max="8218" width="10.5" style="14" bestFit="1" customWidth="1"/>
    <col min="8219" max="8220" width="8.83203125" style="14"/>
    <col min="8221" max="8221" width="14" style="14" customWidth="1"/>
    <col min="8222" max="8449" width="8.83203125" style="14"/>
    <col min="8450" max="8456" width="10.6640625" style="14" customWidth="1"/>
    <col min="8457" max="8457" width="13.33203125" style="14" bestFit="1" customWidth="1"/>
    <col min="8458" max="8458" width="12.1640625" style="14" customWidth="1"/>
    <col min="8459" max="8459" width="12.83203125" style="14" customWidth="1"/>
    <col min="8460" max="8460" width="12.1640625" style="14" customWidth="1"/>
    <col min="8461" max="8463" width="13.5" style="14" customWidth="1"/>
    <col min="8464" max="8465" width="12.1640625" style="14" customWidth="1"/>
    <col min="8466" max="8473" width="8.83203125" style="14"/>
    <col min="8474" max="8474" width="10.5" style="14" bestFit="1" customWidth="1"/>
    <col min="8475" max="8476" width="8.83203125" style="14"/>
    <col min="8477" max="8477" width="14" style="14" customWidth="1"/>
    <col min="8478" max="8705" width="8.83203125" style="14"/>
    <col min="8706" max="8712" width="10.6640625" style="14" customWidth="1"/>
    <col min="8713" max="8713" width="13.33203125" style="14" bestFit="1" customWidth="1"/>
    <col min="8714" max="8714" width="12.1640625" style="14" customWidth="1"/>
    <col min="8715" max="8715" width="12.83203125" style="14" customWidth="1"/>
    <col min="8716" max="8716" width="12.1640625" style="14" customWidth="1"/>
    <col min="8717" max="8719" width="13.5" style="14" customWidth="1"/>
    <col min="8720" max="8721" width="12.1640625" style="14" customWidth="1"/>
    <col min="8722" max="8729" width="8.83203125" style="14"/>
    <col min="8730" max="8730" width="10.5" style="14" bestFit="1" customWidth="1"/>
    <col min="8731" max="8732" width="8.83203125" style="14"/>
    <col min="8733" max="8733" width="14" style="14" customWidth="1"/>
    <col min="8734" max="8961" width="8.83203125" style="14"/>
    <col min="8962" max="8968" width="10.6640625" style="14" customWidth="1"/>
    <col min="8969" max="8969" width="13.33203125" style="14" bestFit="1" customWidth="1"/>
    <col min="8970" max="8970" width="12.1640625" style="14" customWidth="1"/>
    <col min="8971" max="8971" width="12.83203125" style="14" customWidth="1"/>
    <col min="8972" max="8972" width="12.1640625" style="14" customWidth="1"/>
    <col min="8973" max="8975" width="13.5" style="14" customWidth="1"/>
    <col min="8976" max="8977" width="12.1640625" style="14" customWidth="1"/>
    <col min="8978" max="8985" width="8.83203125" style="14"/>
    <col min="8986" max="8986" width="10.5" style="14" bestFit="1" customWidth="1"/>
    <col min="8987" max="8988" width="8.83203125" style="14"/>
    <col min="8989" max="8989" width="14" style="14" customWidth="1"/>
    <col min="8990" max="9217" width="8.83203125" style="14"/>
    <col min="9218" max="9224" width="10.6640625" style="14" customWidth="1"/>
    <col min="9225" max="9225" width="13.33203125" style="14" bestFit="1" customWidth="1"/>
    <col min="9226" max="9226" width="12.1640625" style="14" customWidth="1"/>
    <col min="9227" max="9227" width="12.83203125" style="14" customWidth="1"/>
    <col min="9228" max="9228" width="12.1640625" style="14" customWidth="1"/>
    <col min="9229" max="9231" width="13.5" style="14" customWidth="1"/>
    <col min="9232" max="9233" width="12.1640625" style="14" customWidth="1"/>
    <col min="9234" max="9241" width="8.83203125" style="14"/>
    <col min="9242" max="9242" width="10.5" style="14" bestFit="1" customWidth="1"/>
    <col min="9243" max="9244" width="8.83203125" style="14"/>
    <col min="9245" max="9245" width="14" style="14" customWidth="1"/>
    <col min="9246" max="9473" width="8.83203125" style="14"/>
    <col min="9474" max="9480" width="10.6640625" style="14" customWidth="1"/>
    <col min="9481" max="9481" width="13.33203125" style="14" bestFit="1" customWidth="1"/>
    <col min="9482" max="9482" width="12.1640625" style="14" customWidth="1"/>
    <col min="9483" max="9483" width="12.83203125" style="14" customWidth="1"/>
    <col min="9484" max="9484" width="12.1640625" style="14" customWidth="1"/>
    <col min="9485" max="9487" width="13.5" style="14" customWidth="1"/>
    <col min="9488" max="9489" width="12.1640625" style="14" customWidth="1"/>
    <col min="9490" max="9497" width="8.83203125" style="14"/>
    <col min="9498" max="9498" width="10.5" style="14" bestFit="1" customWidth="1"/>
    <col min="9499" max="9500" width="8.83203125" style="14"/>
    <col min="9501" max="9501" width="14" style="14" customWidth="1"/>
    <col min="9502" max="9729" width="8.83203125" style="14"/>
    <col min="9730" max="9736" width="10.6640625" style="14" customWidth="1"/>
    <col min="9737" max="9737" width="13.33203125" style="14" bestFit="1" customWidth="1"/>
    <col min="9738" max="9738" width="12.1640625" style="14" customWidth="1"/>
    <col min="9739" max="9739" width="12.83203125" style="14" customWidth="1"/>
    <col min="9740" max="9740" width="12.1640625" style="14" customWidth="1"/>
    <col min="9741" max="9743" width="13.5" style="14" customWidth="1"/>
    <col min="9744" max="9745" width="12.1640625" style="14" customWidth="1"/>
    <col min="9746" max="9753" width="8.83203125" style="14"/>
    <col min="9754" max="9754" width="10.5" style="14" bestFit="1" customWidth="1"/>
    <col min="9755" max="9756" width="8.83203125" style="14"/>
    <col min="9757" max="9757" width="14" style="14" customWidth="1"/>
    <col min="9758" max="9985" width="8.83203125" style="14"/>
    <col min="9986" max="9992" width="10.6640625" style="14" customWidth="1"/>
    <col min="9993" max="9993" width="13.33203125" style="14" bestFit="1" customWidth="1"/>
    <col min="9994" max="9994" width="12.1640625" style="14" customWidth="1"/>
    <col min="9995" max="9995" width="12.83203125" style="14" customWidth="1"/>
    <col min="9996" max="9996" width="12.1640625" style="14" customWidth="1"/>
    <col min="9997" max="9999" width="13.5" style="14" customWidth="1"/>
    <col min="10000" max="10001" width="12.1640625" style="14" customWidth="1"/>
    <col min="10002" max="10009" width="8.83203125" style="14"/>
    <col min="10010" max="10010" width="10.5" style="14" bestFit="1" customWidth="1"/>
    <col min="10011" max="10012" width="8.83203125" style="14"/>
    <col min="10013" max="10013" width="14" style="14" customWidth="1"/>
    <col min="10014" max="10241" width="8.83203125" style="14"/>
    <col min="10242" max="10248" width="10.6640625" style="14" customWidth="1"/>
    <col min="10249" max="10249" width="13.33203125" style="14" bestFit="1" customWidth="1"/>
    <col min="10250" max="10250" width="12.1640625" style="14" customWidth="1"/>
    <col min="10251" max="10251" width="12.83203125" style="14" customWidth="1"/>
    <col min="10252" max="10252" width="12.1640625" style="14" customWidth="1"/>
    <col min="10253" max="10255" width="13.5" style="14" customWidth="1"/>
    <col min="10256" max="10257" width="12.1640625" style="14" customWidth="1"/>
    <col min="10258" max="10265" width="8.83203125" style="14"/>
    <col min="10266" max="10266" width="10.5" style="14" bestFit="1" customWidth="1"/>
    <col min="10267" max="10268" width="8.83203125" style="14"/>
    <col min="10269" max="10269" width="14" style="14" customWidth="1"/>
    <col min="10270" max="10497" width="8.83203125" style="14"/>
    <col min="10498" max="10504" width="10.6640625" style="14" customWidth="1"/>
    <col min="10505" max="10505" width="13.33203125" style="14" bestFit="1" customWidth="1"/>
    <col min="10506" max="10506" width="12.1640625" style="14" customWidth="1"/>
    <col min="10507" max="10507" width="12.83203125" style="14" customWidth="1"/>
    <col min="10508" max="10508" width="12.1640625" style="14" customWidth="1"/>
    <col min="10509" max="10511" width="13.5" style="14" customWidth="1"/>
    <col min="10512" max="10513" width="12.1640625" style="14" customWidth="1"/>
    <col min="10514" max="10521" width="8.83203125" style="14"/>
    <col min="10522" max="10522" width="10.5" style="14" bestFit="1" customWidth="1"/>
    <col min="10523" max="10524" width="8.83203125" style="14"/>
    <col min="10525" max="10525" width="14" style="14" customWidth="1"/>
    <col min="10526" max="10753" width="8.83203125" style="14"/>
    <col min="10754" max="10760" width="10.6640625" style="14" customWidth="1"/>
    <col min="10761" max="10761" width="13.33203125" style="14" bestFit="1" customWidth="1"/>
    <col min="10762" max="10762" width="12.1640625" style="14" customWidth="1"/>
    <col min="10763" max="10763" width="12.83203125" style="14" customWidth="1"/>
    <col min="10764" max="10764" width="12.1640625" style="14" customWidth="1"/>
    <col min="10765" max="10767" width="13.5" style="14" customWidth="1"/>
    <col min="10768" max="10769" width="12.1640625" style="14" customWidth="1"/>
    <col min="10770" max="10777" width="8.83203125" style="14"/>
    <col min="10778" max="10778" width="10.5" style="14" bestFit="1" customWidth="1"/>
    <col min="10779" max="10780" width="8.83203125" style="14"/>
    <col min="10781" max="10781" width="14" style="14" customWidth="1"/>
    <col min="10782" max="11009" width="8.83203125" style="14"/>
    <col min="11010" max="11016" width="10.6640625" style="14" customWidth="1"/>
    <col min="11017" max="11017" width="13.33203125" style="14" bestFit="1" customWidth="1"/>
    <col min="11018" max="11018" width="12.1640625" style="14" customWidth="1"/>
    <col min="11019" max="11019" width="12.83203125" style="14" customWidth="1"/>
    <col min="11020" max="11020" width="12.1640625" style="14" customWidth="1"/>
    <col min="11021" max="11023" width="13.5" style="14" customWidth="1"/>
    <col min="11024" max="11025" width="12.1640625" style="14" customWidth="1"/>
    <col min="11026" max="11033" width="8.83203125" style="14"/>
    <col min="11034" max="11034" width="10.5" style="14" bestFit="1" customWidth="1"/>
    <col min="11035" max="11036" width="8.83203125" style="14"/>
    <col min="11037" max="11037" width="14" style="14" customWidth="1"/>
    <col min="11038" max="11265" width="8.83203125" style="14"/>
    <col min="11266" max="11272" width="10.6640625" style="14" customWidth="1"/>
    <col min="11273" max="11273" width="13.33203125" style="14" bestFit="1" customWidth="1"/>
    <col min="11274" max="11274" width="12.1640625" style="14" customWidth="1"/>
    <col min="11275" max="11275" width="12.83203125" style="14" customWidth="1"/>
    <col min="11276" max="11276" width="12.1640625" style="14" customWidth="1"/>
    <col min="11277" max="11279" width="13.5" style="14" customWidth="1"/>
    <col min="11280" max="11281" width="12.1640625" style="14" customWidth="1"/>
    <col min="11282" max="11289" width="8.83203125" style="14"/>
    <col min="11290" max="11290" width="10.5" style="14" bestFit="1" customWidth="1"/>
    <col min="11291" max="11292" width="8.83203125" style="14"/>
    <col min="11293" max="11293" width="14" style="14" customWidth="1"/>
    <col min="11294" max="11521" width="8.83203125" style="14"/>
    <col min="11522" max="11528" width="10.6640625" style="14" customWidth="1"/>
    <col min="11529" max="11529" width="13.33203125" style="14" bestFit="1" customWidth="1"/>
    <col min="11530" max="11530" width="12.1640625" style="14" customWidth="1"/>
    <col min="11531" max="11531" width="12.83203125" style="14" customWidth="1"/>
    <col min="11532" max="11532" width="12.1640625" style="14" customWidth="1"/>
    <col min="11533" max="11535" width="13.5" style="14" customWidth="1"/>
    <col min="11536" max="11537" width="12.1640625" style="14" customWidth="1"/>
    <col min="11538" max="11545" width="8.83203125" style="14"/>
    <col min="11546" max="11546" width="10.5" style="14" bestFit="1" customWidth="1"/>
    <col min="11547" max="11548" width="8.83203125" style="14"/>
    <col min="11549" max="11549" width="14" style="14" customWidth="1"/>
    <col min="11550" max="11777" width="8.83203125" style="14"/>
    <col min="11778" max="11784" width="10.6640625" style="14" customWidth="1"/>
    <col min="11785" max="11785" width="13.33203125" style="14" bestFit="1" customWidth="1"/>
    <col min="11786" max="11786" width="12.1640625" style="14" customWidth="1"/>
    <col min="11787" max="11787" width="12.83203125" style="14" customWidth="1"/>
    <col min="11788" max="11788" width="12.1640625" style="14" customWidth="1"/>
    <col min="11789" max="11791" width="13.5" style="14" customWidth="1"/>
    <col min="11792" max="11793" width="12.1640625" style="14" customWidth="1"/>
    <col min="11794" max="11801" width="8.83203125" style="14"/>
    <col min="11802" max="11802" width="10.5" style="14" bestFit="1" customWidth="1"/>
    <col min="11803" max="11804" width="8.83203125" style="14"/>
    <col min="11805" max="11805" width="14" style="14" customWidth="1"/>
    <col min="11806" max="12033" width="8.83203125" style="14"/>
    <col min="12034" max="12040" width="10.6640625" style="14" customWidth="1"/>
    <col min="12041" max="12041" width="13.33203125" style="14" bestFit="1" customWidth="1"/>
    <col min="12042" max="12042" width="12.1640625" style="14" customWidth="1"/>
    <col min="12043" max="12043" width="12.83203125" style="14" customWidth="1"/>
    <col min="12044" max="12044" width="12.1640625" style="14" customWidth="1"/>
    <col min="12045" max="12047" width="13.5" style="14" customWidth="1"/>
    <col min="12048" max="12049" width="12.1640625" style="14" customWidth="1"/>
    <col min="12050" max="12057" width="8.83203125" style="14"/>
    <col min="12058" max="12058" width="10.5" style="14" bestFit="1" customWidth="1"/>
    <col min="12059" max="12060" width="8.83203125" style="14"/>
    <col min="12061" max="12061" width="14" style="14" customWidth="1"/>
    <col min="12062" max="12289" width="8.83203125" style="14"/>
    <col min="12290" max="12296" width="10.6640625" style="14" customWidth="1"/>
    <col min="12297" max="12297" width="13.33203125" style="14" bestFit="1" customWidth="1"/>
    <col min="12298" max="12298" width="12.1640625" style="14" customWidth="1"/>
    <col min="12299" max="12299" width="12.83203125" style="14" customWidth="1"/>
    <col min="12300" max="12300" width="12.1640625" style="14" customWidth="1"/>
    <col min="12301" max="12303" width="13.5" style="14" customWidth="1"/>
    <col min="12304" max="12305" width="12.1640625" style="14" customWidth="1"/>
    <col min="12306" max="12313" width="8.83203125" style="14"/>
    <col min="12314" max="12314" width="10.5" style="14" bestFit="1" customWidth="1"/>
    <col min="12315" max="12316" width="8.83203125" style="14"/>
    <col min="12317" max="12317" width="14" style="14" customWidth="1"/>
    <col min="12318" max="12545" width="8.83203125" style="14"/>
    <col min="12546" max="12552" width="10.6640625" style="14" customWidth="1"/>
    <col min="12553" max="12553" width="13.33203125" style="14" bestFit="1" customWidth="1"/>
    <col min="12554" max="12554" width="12.1640625" style="14" customWidth="1"/>
    <col min="12555" max="12555" width="12.83203125" style="14" customWidth="1"/>
    <col min="12556" max="12556" width="12.1640625" style="14" customWidth="1"/>
    <col min="12557" max="12559" width="13.5" style="14" customWidth="1"/>
    <col min="12560" max="12561" width="12.1640625" style="14" customWidth="1"/>
    <col min="12562" max="12569" width="8.83203125" style="14"/>
    <col min="12570" max="12570" width="10.5" style="14" bestFit="1" customWidth="1"/>
    <col min="12571" max="12572" width="8.83203125" style="14"/>
    <col min="12573" max="12573" width="14" style="14" customWidth="1"/>
    <col min="12574" max="12801" width="8.83203125" style="14"/>
    <col min="12802" max="12808" width="10.6640625" style="14" customWidth="1"/>
    <col min="12809" max="12809" width="13.33203125" style="14" bestFit="1" customWidth="1"/>
    <col min="12810" max="12810" width="12.1640625" style="14" customWidth="1"/>
    <col min="12811" max="12811" width="12.83203125" style="14" customWidth="1"/>
    <col min="12812" max="12812" width="12.1640625" style="14" customWidth="1"/>
    <col min="12813" max="12815" width="13.5" style="14" customWidth="1"/>
    <col min="12816" max="12817" width="12.1640625" style="14" customWidth="1"/>
    <col min="12818" max="12825" width="8.83203125" style="14"/>
    <col min="12826" max="12826" width="10.5" style="14" bestFit="1" customWidth="1"/>
    <col min="12827" max="12828" width="8.83203125" style="14"/>
    <col min="12829" max="12829" width="14" style="14" customWidth="1"/>
    <col min="12830" max="13057" width="8.83203125" style="14"/>
    <col min="13058" max="13064" width="10.6640625" style="14" customWidth="1"/>
    <col min="13065" max="13065" width="13.33203125" style="14" bestFit="1" customWidth="1"/>
    <col min="13066" max="13066" width="12.1640625" style="14" customWidth="1"/>
    <col min="13067" max="13067" width="12.83203125" style="14" customWidth="1"/>
    <col min="13068" max="13068" width="12.1640625" style="14" customWidth="1"/>
    <col min="13069" max="13071" width="13.5" style="14" customWidth="1"/>
    <col min="13072" max="13073" width="12.1640625" style="14" customWidth="1"/>
    <col min="13074" max="13081" width="8.83203125" style="14"/>
    <col min="13082" max="13082" width="10.5" style="14" bestFit="1" customWidth="1"/>
    <col min="13083" max="13084" width="8.83203125" style="14"/>
    <col min="13085" max="13085" width="14" style="14" customWidth="1"/>
    <col min="13086" max="13313" width="8.83203125" style="14"/>
    <col min="13314" max="13320" width="10.6640625" style="14" customWidth="1"/>
    <col min="13321" max="13321" width="13.33203125" style="14" bestFit="1" customWidth="1"/>
    <col min="13322" max="13322" width="12.1640625" style="14" customWidth="1"/>
    <col min="13323" max="13323" width="12.83203125" style="14" customWidth="1"/>
    <col min="13324" max="13324" width="12.1640625" style="14" customWidth="1"/>
    <col min="13325" max="13327" width="13.5" style="14" customWidth="1"/>
    <col min="13328" max="13329" width="12.1640625" style="14" customWidth="1"/>
    <col min="13330" max="13337" width="8.83203125" style="14"/>
    <col min="13338" max="13338" width="10.5" style="14" bestFit="1" customWidth="1"/>
    <col min="13339" max="13340" width="8.83203125" style="14"/>
    <col min="13341" max="13341" width="14" style="14" customWidth="1"/>
    <col min="13342" max="13569" width="8.83203125" style="14"/>
    <col min="13570" max="13576" width="10.6640625" style="14" customWidth="1"/>
    <col min="13577" max="13577" width="13.33203125" style="14" bestFit="1" customWidth="1"/>
    <col min="13578" max="13578" width="12.1640625" style="14" customWidth="1"/>
    <col min="13579" max="13579" width="12.83203125" style="14" customWidth="1"/>
    <col min="13580" max="13580" width="12.1640625" style="14" customWidth="1"/>
    <col min="13581" max="13583" width="13.5" style="14" customWidth="1"/>
    <col min="13584" max="13585" width="12.1640625" style="14" customWidth="1"/>
    <col min="13586" max="13593" width="8.83203125" style="14"/>
    <col min="13594" max="13594" width="10.5" style="14" bestFit="1" customWidth="1"/>
    <col min="13595" max="13596" width="8.83203125" style="14"/>
    <col min="13597" max="13597" width="14" style="14" customWidth="1"/>
    <col min="13598" max="13825" width="8.83203125" style="14"/>
    <col min="13826" max="13832" width="10.6640625" style="14" customWidth="1"/>
    <col min="13833" max="13833" width="13.33203125" style="14" bestFit="1" customWidth="1"/>
    <col min="13834" max="13834" width="12.1640625" style="14" customWidth="1"/>
    <col min="13835" max="13835" width="12.83203125" style="14" customWidth="1"/>
    <col min="13836" max="13836" width="12.1640625" style="14" customWidth="1"/>
    <col min="13837" max="13839" width="13.5" style="14" customWidth="1"/>
    <col min="13840" max="13841" width="12.1640625" style="14" customWidth="1"/>
    <col min="13842" max="13849" width="8.83203125" style="14"/>
    <col min="13850" max="13850" width="10.5" style="14" bestFit="1" customWidth="1"/>
    <col min="13851" max="13852" width="8.83203125" style="14"/>
    <col min="13853" max="13853" width="14" style="14" customWidth="1"/>
    <col min="13854" max="14081" width="8.83203125" style="14"/>
    <col min="14082" max="14088" width="10.6640625" style="14" customWidth="1"/>
    <col min="14089" max="14089" width="13.33203125" style="14" bestFit="1" customWidth="1"/>
    <col min="14090" max="14090" width="12.1640625" style="14" customWidth="1"/>
    <col min="14091" max="14091" width="12.83203125" style="14" customWidth="1"/>
    <col min="14092" max="14092" width="12.1640625" style="14" customWidth="1"/>
    <col min="14093" max="14095" width="13.5" style="14" customWidth="1"/>
    <col min="14096" max="14097" width="12.1640625" style="14" customWidth="1"/>
    <col min="14098" max="14105" width="8.83203125" style="14"/>
    <col min="14106" max="14106" width="10.5" style="14" bestFit="1" customWidth="1"/>
    <col min="14107" max="14108" width="8.83203125" style="14"/>
    <col min="14109" max="14109" width="14" style="14" customWidth="1"/>
    <col min="14110" max="14337" width="8.83203125" style="14"/>
    <col min="14338" max="14344" width="10.6640625" style="14" customWidth="1"/>
    <col min="14345" max="14345" width="13.33203125" style="14" bestFit="1" customWidth="1"/>
    <col min="14346" max="14346" width="12.1640625" style="14" customWidth="1"/>
    <col min="14347" max="14347" width="12.83203125" style="14" customWidth="1"/>
    <col min="14348" max="14348" width="12.1640625" style="14" customWidth="1"/>
    <col min="14349" max="14351" width="13.5" style="14" customWidth="1"/>
    <col min="14352" max="14353" width="12.1640625" style="14" customWidth="1"/>
    <col min="14354" max="14361" width="8.83203125" style="14"/>
    <col min="14362" max="14362" width="10.5" style="14" bestFit="1" customWidth="1"/>
    <col min="14363" max="14364" width="8.83203125" style="14"/>
    <col min="14365" max="14365" width="14" style="14" customWidth="1"/>
    <col min="14366" max="14593" width="8.83203125" style="14"/>
    <col min="14594" max="14600" width="10.6640625" style="14" customWidth="1"/>
    <col min="14601" max="14601" width="13.33203125" style="14" bestFit="1" customWidth="1"/>
    <col min="14602" max="14602" width="12.1640625" style="14" customWidth="1"/>
    <col min="14603" max="14603" width="12.83203125" style="14" customWidth="1"/>
    <col min="14604" max="14604" width="12.1640625" style="14" customWidth="1"/>
    <col min="14605" max="14607" width="13.5" style="14" customWidth="1"/>
    <col min="14608" max="14609" width="12.1640625" style="14" customWidth="1"/>
    <col min="14610" max="14617" width="8.83203125" style="14"/>
    <col min="14618" max="14618" width="10.5" style="14" bestFit="1" customWidth="1"/>
    <col min="14619" max="14620" width="8.83203125" style="14"/>
    <col min="14621" max="14621" width="14" style="14" customWidth="1"/>
    <col min="14622" max="14849" width="8.83203125" style="14"/>
    <col min="14850" max="14856" width="10.6640625" style="14" customWidth="1"/>
    <col min="14857" max="14857" width="13.33203125" style="14" bestFit="1" customWidth="1"/>
    <col min="14858" max="14858" width="12.1640625" style="14" customWidth="1"/>
    <col min="14859" max="14859" width="12.83203125" style="14" customWidth="1"/>
    <col min="14860" max="14860" width="12.1640625" style="14" customWidth="1"/>
    <col min="14861" max="14863" width="13.5" style="14" customWidth="1"/>
    <col min="14864" max="14865" width="12.1640625" style="14" customWidth="1"/>
    <col min="14866" max="14873" width="8.83203125" style="14"/>
    <col min="14874" max="14874" width="10.5" style="14" bestFit="1" customWidth="1"/>
    <col min="14875" max="14876" width="8.83203125" style="14"/>
    <col min="14877" max="14877" width="14" style="14" customWidth="1"/>
    <col min="14878" max="15105" width="8.83203125" style="14"/>
    <col min="15106" max="15112" width="10.6640625" style="14" customWidth="1"/>
    <col min="15113" max="15113" width="13.33203125" style="14" bestFit="1" customWidth="1"/>
    <col min="15114" max="15114" width="12.1640625" style="14" customWidth="1"/>
    <col min="15115" max="15115" width="12.83203125" style="14" customWidth="1"/>
    <col min="15116" max="15116" width="12.1640625" style="14" customWidth="1"/>
    <col min="15117" max="15119" width="13.5" style="14" customWidth="1"/>
    <col min="15120" max="15121" width="12.1640625" style="14" customWidth="1"/>
    <col min="15122" max="15129" width="8.83203125" style="14"/>
    <col min="15130" max="15130" width="10.5" style="14" bestFit="1" customWidth="1"/>
    <col min="15131" max="15132" width="8.83203125" style="14"/>
    <col min="15133" max="15133" width="14" style="14" customWidth="1"/>
    <col min="15134" max="15361" width="8.83203125" style="14"/>
    <col min="15362" max="15368" width="10.6640625" style="14" customWidth="1"/>
    <col min="15369" max="15369" width="13.33203125" style="14" bestFit="1" customWidth="1"/>
    <col min="15370" max="15370" width="12.1640625" style="14" customWidth="1"/>
    <col min="15371" max="15371" width="12.83203125" style="14" customWidth="1"/>
    <col min="15372" max="15372" width="12.1640625" style="14" customWidth="1"/>
    <col min="15373" max="15375" width="13.5" style="14" customWidth="1"/>
    <col min="15376" max="15377" width="12.1640625" style="14" customWidth="1"/>
    <col min="15378" max="15385" width="8.83203125" style="14"/>
    <col min="15386" max="15386" width="10.5" style="14" bestFit="1" customWidth="1"/>
    <col min="15387" max="15388" width="8.83203125" style="14"/>
    <col min="15389" max="15389" width="14" style="14" customWidth="1"/>
    <col min="15390" max="15617" width="8.83203125" style="14"/>
    <col min="15618" max="15624" width="10.6640625" style="14" customWidth="1"/>
    <col min="15625" max="15625" width="13.33203125" style="14" bestFit="1" customWidth="1"/>
    <col min="15626" max="15626" width="12.1640625" style="14" customWidth="1"/>
    <col min="15627" max="15627" width="12.83203125" style="14" customWidth="1"/>
    <col min="15628" max="15628" width="12.1640625" style="14" customWidth="1"/>
    <col min="15629" max="15631" width="13.5" style="14" customWidth="1"/>
    <col min="15632" max="15633" width="12.1640625" style="14" customWidth="1"/>
    <col min="15634" max="15641" width="8.83203125" style="14"/>
    <col min="15642" max="15642" width="10.5" style="14" bestFit="1" customWidth="1"/>
    <col min="15643" max="15644" width="8.83203125" style="14"/>
    <col min="15645" max="15645" width="14" style="14" customWidth="1"/>
    <col min="15646" max="15873" width="8.83203125" style="14"/>
    <col min="15874" max="15880" width="10.6640625" style="14" customWidth="1"/>
    <col min="15881" max="15881" width="13.33203125" style="14" bestFit="1" customWidth="1"/>
    <col min="15882" max="15882" width="12.1640625" style="14" customWidth="1"/>
    <col min="15883" max="15883" width="12.83203125" style="14" customWidth="1"/>
    <col min="15884" max="15884" width="12.1640625" style="14" customWidth="1"/>
    <col min="15885" max="15887" width="13.5" style="14" customWidth="1"/>
    <col min="15888" max="15889" width="12.1640625" style="14" customWidth="1"/>
    <col min="15890" max="15897" width="8.83203125" style="14"/>
    <col min="15898" max="15898" width="10.5" style="14" bestFit="1" customWidth="1"/>
    <col min="15899" max="15900" width="8.83203125" style="14"/>
    <col min="15901" max="15901" width="14" style="14" customWidth="1"/>
    <col min="15902" max="16129" width="8.83203125" style="14"/>
    <col min="16130" max="16136" width="10.6640625" style="14" customWidth="1"/>
    <col min="16137" max="16137" width="13.33203125" style="14" bestFit="1" customWidth="1"/>
    <col min="16138" max="16138" width="12.1640625" style="14" customWidth="1"/>
    <col min="16139" max="16139" width="12.83203125" style="14" customWidth="1"/>
    <col min="16140" max="16140" width="12.1640625" style="14" customWidth="1"/>
    <col min="16141" max="16143" width="13.5" style="14" customWidth="1"/>
    <col min="16144" max="16145" width="12.1640625" style="14" customWidth="1"/>
    <col min="16146" max="16153" width="8.83203125" style="14"/>
    <col min="16154" max="16154" width="10.5" style="14" bestFit="1" customWidth="1"/>
    <col min="16155" max="16156" width="8.83203125" style="14"/>
    <col min="16157" max="16157" width="14" style="14" customWidth="1"/>
    <col min="16158" max="16384" width="8.83203125" style="14"/>
  </cols>
  <sheetData>
    <row r="1" spans="1:30" ht="25.5" customHeight="1">
      <c r="A1" s="5" t="s">
        <v>17</v>
      </c>
      <c r="B1" s="6"/>
      <c r="C1" s="6"/>
      <c r="D1" s="6"/>
      <c r="E1" s="6"/>
      <c r="F1" s="7"/>
      <c r="G1" s="8"/>
      <c r="H1" s="7"/>
      <c r="I1" s="7"/>
      <c r="J1" s="7"/>
      <c r="K1" s="7"/>
      <c r="L1" s="7"/>
      <c r="M1" s="6"/>
      <c r="N1" s="9"/>
      <c r="O1" s="10" t="s">
        <v>12</v>
      </c>
      <c r="P1" s="11"/>
      <c r="Q1" s="12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ht="12.75" customHeight="1">
      <c r="A2" s="7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6"/>
      <c r="N2" s="9"/>
      <c r="O2" s="15" t="s">
        <v>18</v>
      </c>
      <c r="P2" s="16"/>
      <c r="Q2" s="12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ht="12.75" customHeight="1">
      <c r="A3" s="8" t="s">
        <v>19</v>
      </c>
      <c r="B3" s="8"/>
      <c r="C3" s="8"/>
      <c r="D3" s="17"/>
      <c r="E3" s="6"/>
      <c r="F3" s="17"/>
      <c r="G3" s="7"/>
      <c r="H3" s="7"/>
      <c r="I3" s="17"/>
      <c r="J3" s="17"/>
      <c r="K3" s="17"/>
      <c r="L3" s="17"/>
      <c r="M3" s="6"/>
      <c r="N3" s="18"/>
      <c r="O3" s="19" t="s">
        <v>20</v>
      </c>
      <c r="P3" s="18"/>
      <c r="Q3" s="20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13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1"/>
      <c r="N4" s="22"/>
      <c r="O4" s="23" t="s">
        <v>62</v>
      </c>
      <c r="P4" s="22"/>
      <c r="Q4" s="6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</row>
    <row r="6" spans="1:30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13" thickBo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</row>
    <row r="8" spans="1:30" ht="13" thickBot="1">
      <c r="A8" s="28"/>
      <c r="B8" s="29"/>
      <c r="C8" s="31" t="s">
        <v>4</v>
      </c>
      <c r="D8" s="32">
        <f>A96</f>
        <v>51</v>
      </c>
      <c r="E8" s="33" t="s">
        <v>21</v>
      </c>
      <c r="F8" s="29"/>
      <c r="G8" s="29"/>
      <c r="H8" s="29"/>
      <c r="I8" s="34"/>
      <c r="J8" s="35"/>
      <c r="K8" s="35"/>
      <c r="L8" s="35"/>
      <c r="M8" s="35"/>
      <c r="N8" s="35"/>
      <c r="O8" s="36"/>
      <c r="P8" s="30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</row>
    <row r="9" spans="1:30">
      <c r="A9" s="28"/>
      <c r="B9" s="29"/>
      <c r="C9" s="29"/>
      <c r="D9" s="29"/>
      <c r="E9" s="29"/>
      <c r="F9" s="29"/>
      <c r="G9" s="29"/>
      <c r="H9" s="29"/>
      <c r="I9" s="37"/>
      <c r="J9" s="38"/>
      <c r="K9" s="38"/>
      <c r="L9" s="38"/>
      <c r="M9" s="38"/>
      <c r="N9" s="38"/>
      <c r="O9" s="39"/>
      <c r="P9" s="30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</row>
    <row r="10" spans="1:30" ht="13" thickBot="1">
      <c r="A10" s="28"/>
      <c r="B10" s="29"/>
      <c r="C10" s="29"/>
      <c r="D10" s="29"/>
      <c r="E10" s="29"/>
      <c r="F10" s="29"/>
      <c r="G10" s="29"/>
      <c r="H10" s="29"/>
      <c r="I10" s="37"/>
      <c r="J10" s="38"/>
      <c r="K10" s="38"/>
      <c r="L10" s="38"/>
      <c r="M10" s="38"/>
      <c r="N10" s="38"/>
      <c r="O10" s="39"/>
      <c r="P10" s="30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</row>
    <row r="11" spans="1:30" ht="13" thickBot="1">
      <c r="A11" s="28"/>
      <c r="B11" s="29"/>
      <c r="C11" s="31" t="s">
        <v>22</v>
      </c>
      <c r="D11" s="120">
        <f>M140</f>
        <v>-5.8223447552485652E-4</v>
      </c>
      <c r="E11" s="29"/>
      <c r="F11" s="31" t="s">
        <v>23</v>
      </c>
      <c r="G11" s="40">
        <f>SUM(Z34:Z93)</f>
        <v>0.11204945332592821</v>
      </c>
      <c r="H11" s="29"/>
      <c r="I11" s="37"/>
      <c r="J11" s="38"/>
      <c r="K11" s="38"/>
      <c r="L11" s="38"/>
      <c r="M11" s="38"/>
      <c r="N11" s="38"/>
      <c r="O11" s="39"/>
      <c r="P11" s="30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</row>
    <row r="12" spans="1:30" ht="13" thickBot="1">
      <c r="A12" s="28"/>
      <c r="B12" s="29"/>
      <c r="C12" s="29"/>
      <c r="D12" s="121"/>
      <c r="E12" s="29"/>
      <c r="F12" s="29"/>
      <c r="G12" s="41"/>
      <c r="H12" s="29"/>
      <c r="I12" s="37"/>
      <c r="J12" s="38"/>
      <c r="K12" s="38"/>
      <c r="L12" s="38"/>
      <c r="M12" s="38"/>
      <c r="N12" s="38"/>
      <c r="O12" s="39"/>
      <c r="P12" s="30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ht="13" thickBot="1">
      <c r="A13" s="28"/>
      <c r="B13" s="29"/>
      <c r="C13" s="31" t="s">
        <v>24</v>
      </c>
      <c r="D13" s="120">
        <f>M141</f>
        <v>0.26719956475582762</v>
      </c>
      <c r="E13" s="29"/>
      <c r="F13" s="31" t="s">
        <v>25</v>
      </c>
      <c r="G13" s="42">
        <f>SUM(AB34:AB93)</f>
        <v>1.2697121227217574E-6</v>
      </c>
      <c r="H13" s="29"/>
      <c r="I13" s="37"/>
      <c r="J13" s="38"/>
      <c r="K13" s="38"/>
      <c r="L13" s="38"/>
      <c r="M13" s="38"/>
      <c r="N13" s="38"/>
      <c r="O13" s="39"/>
      <c r="P13" s="30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</row>
    <row r="14" spans="1:30" ht="13" thickBot="1">
      <c r="A14" s="28"/>
      <c r="B14" s="29"/>
      <c r="C14" s="29"/>
      <c r="D14" s="121"/>
      <c r="E14" s="29"/>
      <c r="F14" s="29"/>
      <c r="G14" s="29"/>
      <c r="H14" s="29"/>
      <c r="I14" s="37"/>
      <c r="J14" s="38"/>
      <c r="K14" s="38"/>
      <c r="L14" s="38"/>
      <c r="M14" s="38"/>
      <c r="N14" s="38"/>
      <c r="O14" s="39"/>
      <c r="P14" s="30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0" ht="13" thickBot="1">
      <c r="A15" s="28"/>
      <c r="B15" s="29"/>
      <c r="C15" s="31" t="s">
        <v>26</v>
      </c>
      <c r="D15" s="120">
        <f>M142</f>
        <v>-0.13185470083729456</v>
      </c>
      <c r="E15" s="29"/>
      <c r="F15" s="31" t="s">
        <v>27</v>
      </c>
      <c r="G15" s="43">
        <f>(G11-G13)/G11</f>
        <v>0.99998866828810817</v>
      </c>
      <c r="H15" s="29"/>
      <c r="I15" s="37"/>
      <c r="J15" s="38"/>
      <c r="K15" s="38"/>
      <c r="L15" s="38"/>
      <c r="M15" s="38"/>
      <c r="N15" s="38"/>
      <c r="O15" s="39"/>
      <c r="P15" s="30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ht="13" thickBot="1">
      <c r="A16" s="28"/>
      <c r="B16" s="29"/>
      <c r="C16" s="29"/>
      <c r="D16" s="121"/>
      <c r="E16" s="29"/>
      <c r="F16" s="29"/>
      <c r="G16" s="29"/>
      <c r="H16" s="29"/>
      <c r="I16" s="37"/>
      <c r="J16" s="38"/>
      <c r="K16" s="38"/>
      <c r="L16" s="38"/>
      <c r="M16" s="38"/>
      <c r="N16" s="38"/>
      <c r="O16" s="39"/>
      <c r="P16" s="30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 spans="1:30" ht="13" thickBot="1">
      <c r="A17" s="28"/>
      <c r="B17" s="29"/>
      <c r="C17" s="31" t="s">
        <v>28</v>
      </c>
      <c r="D17" s="120">
        <f>M143</f>
        <v>2.4175418116385572E-2</v>
      </c>
      <c r="E17" s="29"/>
      <c r="F17" s="29"/>
      <c r="G17" s="29"/>
      <c r="H17" s="29"/>
      <c r="I17" s="37"/>
      <c r="J17" s="38"/>
      <c r="K17" s="38"/>
      <c r="L17" s="38"/>
      <c r="M17" s="38"/>
      <c r="N17" s="38"/>
      <c r="O17" s="39"/>
      <c r="P17" s="30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>
      <c r="A18" s="28"/>
      <c r="B18" s="29"/>
      <c r="C18" s="29"/>
      <c r="D18" s="41"/>
      <c r="E18" s="29"/>
      <c r="F18" s="29"/>
      <c r="G18" s="29"/>
      <c r="H18" s="29"/>
      <c r="I18" s="37"/>
      <c r="J18" s="38"/>
      <c r="K18" s="38"/>
      <c r="L18" s="38"/>
      <c r="M18" s="38"/>
      <c r="N18" s="38"/>
      <c r="O18" s="39"/>
      <c r="P18" s="30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>
      <c r="A19" s="28"/>
      <c r="B19" s="29"/>
      <c r="C19" s="29"/>
      <c r="D19" s="29"/>
      <c r="E19" s="29"/>
      <c r="F19" s="29"/>
      <c r="G19" s="29"/>
      <c r="H19" s="29"/>
      <c r="I19" s="37"/>
      <c r="J19" s="38"/>
      <c r="K19" s="38"/>
      <c r="L19" s="38"/>
      <c r="M19" s="38"/>
      <c r="N19" s="38"/>
      <c r="O19" s="39"/>
      <c r="P19" s="30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>
      <c r="A20" s="28"/>
      <c r="B20" s="29"/>
      <c r="C20" s="29"/>
      <c r="D20" s="41"/>
      <c r="E20" s="29"/>
      <c r="F20" s="29"/>
      <c r="G20" s="29"/>
      <c r="H20" s="29"/>
      <c r="I20" s="37"/>
      <c r="J20" s="38"/>
      <c r="K20" s="38"/>
      <c r="L20" s="38"/>
      <c r="M20" s="38"/>
      <c r="N20" s="38"/>
      <c r="O20" s="39"/>
      <c r="P20" s="30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>
      <c r="A21" s="28"/>
      <c r="B21" s="29"/>
      <c r="C21" s="29"/>
      <c r="D21" s="29"/>
      <c r="E21" s="29"/>
      <c r="F21" s="29"/>
      <c r="G21" s="29"/>
      <c r="H21" s="29"/>
      <c r="I21" s="37"/>
      <c r="J21" s="38"/>
      <c r="K21" s="38"/>
      <c r="L21" s="38"/>
      <c r="M21" s="38"/>
      <c r="N21" s="38"/>
      <c r="O21" s="39"/>
      <c r="P21" s="30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>
      <c r="A22" s="28"/>
      <c r="B22" s="29"/>
      <c r="C22" s="29"/>
      <c r="D22" s="41"/>
      <c r="E22" s="29"/>
      <c r="F22" s="29"/>
      <c r="G22" s="29"/>
      <c r="H22" s="29"/>
      <c r="I22" s="37"/>
      <c r="J22" s="38"/>
      <c r="K22" s="38"/>
      <c r="L22" s="38"/>
      <c r="M22" s="38"/>
      <c r="N22" s="38"/>
      <c r="O22" s="39"/>
      <c r="P22" s="30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 spans="1:30">
      <c r="A23" s="28"/>
      <c r="B23" s="29"/>
      <c r="C23" s="29"/>
      <c r="D23" s="29"/>
      <c r="E23" s="29"/>
      <c r="F23" s="29"/>
      <c r="G23" s="29"/>
      <c r="H23" s="29"/>
      <c r="I23" s="44"/>
      <c r="J23" s="45"/>
      <c r="K23" s="45"/>
      <c r="L23" s="45"/>
      <c r="M23" s="45"/>
      <c r="N23" s="45"/>
      <c r="O23" s="46"/>
      <c r="P23" s="30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spans="1:30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 spans="1:30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0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0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ht="13" thickBo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0">
      <c r="A30" s="28"/>
      <c r="B30" s="47"/>
      <c r="C30" s="48"/>
      <c r="D30" s="49"/>
      <c r="E30" s="50"/>
      <c r="F30" s="51"/>
      <c r="G30" s="51"/>
      <c r="H30" s="51"/>
      <c r="I30" s="51"/>
      <c r="J30" s="51"/>
      <c r="K30" s="51"/>
      <c r="L30" s="49"/>
      <c r="M30" s="29"/>
      <c r="N30" s="29"/>
      <c r="O30" s="29"/>
      <c r="P30" s="30"/>
      <c r="Q30" s="27"/>
      <c r="R30" s="47"/>
      <c r="S30" s="52"/>
      <c r="T30" s="52"/>
      <c r="U30" s="52"/>
      <c r="V30" s="27"/>
      <c r="W30" s="27"/>
      <c r="X30" s="27"/>
      <c r="Y30" s="27"/>
      <c r="Z30" s="47"/>
      <c r="AA30" s="47"/>
      <c r="AB30" s="52"/>
      <c r="AC30" s="27"/>
      <c r="AD30" s="27"/>
    </row>
    <row r="31" spans="1:30">
      <c r="A31" s="28"/>
      <c r="B31" s="53" t="s">
        <v>32</v>
      </c>
      <c r="C31" s="54" t="s">
        <v>33</v>
      </c>
      <c r="D31" s="55" t="s">
        <v>34</v>
      </c>
      <c r="E31" s="56" t="s">
        <v>35</v>
      </c>
      <c r="F31" s="57" t="s">
        <v>36</v>
      </c>
      <c r="G31" s="57" t="s">
        <v>37</v>
      </c>
      <c r="H31" s="57" t="s">
        <v>38</v>
      </c>
      <c r="I31" s="57" t="s">
        <v>39</v>
      </c>
      <c r="J31" s="57" t="s">
        <v>40</v>
      </c>
      <c r="K31" s="57" t="s">
        <v>41</v>
      </c>
      <c r="L31" s="55" t="s">
        <v>42</v>
      </c>
      <c r="M31" s="29"/>
      <c r="N31" s="29"/>
      <c r="O31" s="29"/>
      <c r="P31" s="30"/>
      <c r="Q31" s="27"/>
      <c r="R31" s="53" t="s">
        <v>34</v>
      </c>
      <c r="S31" s="58" t="s">
        <v>63</v>
      </c>
      <c r="T31" s="58" t="s">
        <v>46</v>
      </c>
      <c r="U31" s="58" t="s">
        <v>47</v>
      </c>
      <c r="V31" s="27"/>
      <c r="W31" s="27"/>
      <c r="X31" s="27"/>
      <c r="Y31" s="27"/>
      <c r="Z31" s="53" t="s">
        <v>51</v>
      </c>
      <c r="AA31" s="53" t="s">
        <v>52</v>
      </c>
      <c r="AB31" s="58" t="s">
        <v>53</v>
      </c>
      <c r="AC31" s="27"/>
      <c r="AD31" s="27"/>
    </row>
    <row r="32" spans="1:30" ht="13" thickBot="1">
      <c r="A32" s="28"/>
      <c r="B32" s="59"/>
      <c r="C32" s="60"/>
      <c r="D32" s="61"/>
      <c r="E32" s="62"/>
      <c r="F32" s="63"/>
      <c r="G32" s="63"/>
      <c r="H32" s="63"/>
      <c r="I32" s="63"/>
      <c r="J32" s="63"/>
      <c r="K32" s="63"/>
      <c r="L32" s="61"/>
      <c r="M32" s="29"/>
      <c r="N32" s="29"/>
      <c r="O32" s="29"/>
      <c r="P32" s="30"/>
      <c r="Q32" s="27"/>
      <c r="R32" s="59"/>
      <c r="S32" s="64"/>
      <c r="T32" s="64"/>
      <c r="U32" s="64"/>
      <c r="V32" s="27"/>
      <c r="W32" s="27"/>
      <c r="X32" s="27"/>
      <c r="Y32" s="27"/>
      <c r="Z32" s="59"/>
      <c r="AA32" s="59"/>
      <c r="AB32" s="64"/>
      <c r="AC32" s="27"/>
      <c r="AD32" s="27"/>
    </row>
    <row r="33" spans="1:30">
      <c r="A33" s="28"/>
      <c r="B33" s="65"/>
      <c r="C33" s="66"/>
      <c r="D33" s="67"/>
      <c r="E33" s="68"/>
      <c r="F33" s="69"/>
      <c r="G33" s="69"/>
      <c r="H33" s="69"/>
      <c r="I33" s="69"/>
      <c r="J33" s="69"/>
      <c r="K33" s="69"/>
      <c r="L33" s="70"/>
      <c r="M33" s="29"/>
      <c r="N33" s="29"/>
      <c r="O33" s="29"/>
      <c r="P33" s="30"/>
      <c r="Q33" s="27"/>
      <c r="R33" s="69"/>
      <c r="S33" s="69"/>
      <c r="T33" s="69"/>
      <c r="U33" s="70"/>
      <c r="V33" s="27"/>
      <c r="W33" s="27"/>
      <c r="X33" s="27"/>
      <c r="Y33" s="27"/>
      <c r="Z33" s="73"/>
      <c r="AA33" s="73"/>
      <c r="AB33" s="70"/>
      <c r="AC33" s="27"/>
      <c r="AD33" s="27"/>
    </row>
    <row r="34" spans="1:30">
      <c r="A34" s="74">
        <f t="shared" ref="A34:A93" si="0">IF(C34="",0,1)</f>
        <v>1</v>
      </c>
      <c r="B34" s="119">
        <v>1</v>
      </c>
      <c r="C34" s="127">
        <v>1E-3</v>
      </c>
      <c r="D34" s="84">
        <v>2.5000000000000001E-4</v>
      </c>
      <c r="E34" s="124">
        <f t="shared" ref="E34:E93" si="1">IF(C34="","",$C34^2)</f>
        <v>9.9999999999999995E-7</v>
      </c>
      <c r="F34" s="125">
        <f t="shared" ref="F34:F93" si="2">IF(C34="","",C34^3)</f>
        <v>1.0000000000000001E-9</v>
      </c>
      <c r="G34" s="125">
        <f t="shared" ref="G34:G93" si="3">IF(C34="","",C34^4)</f>
        <v>9.9999999999999998E-13</v>
      </c>
      <c r="H34" s="125">
        <f t="shared" ref="H34:H93" si="4">IF(C34="","",C34^5)</f>
        <v>1.0000000000000001E-15</v>
      </c>
      <c r="I34" s="125">
        <f t="shared" ref="I34:I93" si="5">IF(C34="","",C34^6)</f>
        <v>9.9999999999999988E-19</v>
      </c>
      <c r="J34" s="125">
        <f t="shared" ref="J34:J93" si="6">IF(C34="","",C34^7)</f>
        <v>1.0000000000000001E-21</v>
      </c>
      <c r="K34" s="125">
        <f t="shared" ref="K34:K93" si="7">IF(C34="","",C34^8)</f>
        <v>9.9999999999999992E-25</v>
      </c>
      <c r="L34" s="126">
        <f t="shared" ref="L34:L93" si="8">IF(C34="","",C34^9)</f>
        <v>9.9999999999999986E-28</v>
      </c>
      <c r="M34" s="29"/>
      <c r="N34" s="29"/>
      <c r="O34" s="29"/>
      <c r="P34" s="30"/>
      <c r="Q34" s="27"/>
      <c r="R34" s="80">
        <f t="shared" ref="R34:R93" si="9">IF(C34="","",D34)</f>
        <v>2.5000000000000001E-4</v>
      </c>
      <c r="S34" s="80">
        <f t="shared" ref="S34:S93" si="10">IF(C34="","",C34*D34)</f>
        <v>2.4999999999999999E-7</v>
      </c>
      <c r="T34" s="80">
        <f t="shared" ref="T34:T93" si="11">IF(C34="","",C34^2*D34)</f>
        <v>2.5000000000000002E-10</v>
      </c>
      <c r="U34" s="81">
        <f t="shared" ref="U34:U93" si="12">IF(C34="","",C34^3*D34)</f>
        <v>2.5000000000000005E-13</v>
      </c>
      <c r="V34" s="27"/>
      <c r="W34" s="27"/>
      <c r="X34" s="27"/>
      <c r="Y34" s="82"/>
      <c r="Z34" s="83">
        <f t="shared" ref="Z34:Z93" si="13">IF(C34="","",(D34-AVERAGE(D$34:D$93))^2)</f>
        <v>8.9390280930688841E-3</v>
      </c>
      <c r="AA34" s="80">
        <f>IF(C34="","",$M$140+$M$141*C34+$M$142*C34^2+$M$143*C34^3)</f>
        <v>-3.1516674129444805E-4</v>
      </c>
      <c r="AB34" s="81">
        <f t="shared" ref="AB34:AB93" si="14">IF(C34="","",(AA34-D34)^2)</f>
        <v>3.1941344546538566E-7</v>
      </c>
      <c r="AC34" s="27"/>
      <c r="AD34" s="27"/>
    </row>
    <row r="35" spans="1:30">
      <c r="A35" s="74">
        <f t="shared" si="0"/>
        <v>1</v>
      </c>
      <c r="B35" s="119">
        <v>2</v>
      </c>
      <c r="C35" s="127">
        <v>0.02</v>
      </c>
      <c r="D35" s="84">
        <v>4.9960068345585983E-3</v>
      </c>
      <c r="E35" s="124">
        <f t="shared" si="1"/>
        <v>4.0000000000000002E-4</v>
      </c>
      <c r="F35" s="125">
        <f t="shared" si="2"/>
        <v>8.0000000000000013E-6</v>
      </c>
      <c r="G35" s="125">
        <f t="shared" si="3"/>
        <v>1.6E-7</v>
      </c>
      <c r="H35" s="125">
        <f t="shared" si="4"/>
        <v>3.2000000000000001E-9</v>
      </c>
      <c r="I35" s="125">
        <f t="shared" si="5"/>
        <v>6.3999999999999999E-11</v>
      </c>
      <c r="J35" s="125">
        <f t="shared" si="6"/>
        <v>1.2800000000000002E-12</v>
      </c>
      <c r="K35" s="125">
        <f t="shared" si="7"/>
        <v>2.5600000000000003E-14</v>
      </c>
      <c r="L35" s="126">
        <f t="shared" si="8"/>
        <v>5.1200000000000004E-16</v>
      </c>
      <c r="M35" s="29"/>
      <c r="N35" s="29"/>
      <c r="O35" s="29"/>
      <c r="P35" s="30"/>
      <c r="Q35" s="27"/>
      <c r="R35" s="80">
        <f t="shared" si="9"/>
        <v>4.9960068345585983E-3</v>
      </c>
      <c r="S35" s="80">
        <f t="shared" si="10"/>
        <v>9.9920136691171964E-5</v>
      </c>
      <c r="T35" s="80">
        <f t="shared" si="11"/>
        <v>1.9984027338234395E-6</v>
      </c>
      <c r="U35" s="81">
        <f t="shared" si="12"/>
        <v>3.9968054676468796E-8</v>
      </c>
      <c r="V35" s="27"/>
      <c r="W35" s="27"/>
      <c r="X35" s="27"/>
      <c r="Y35" s="82"/>
      <c r="Z35" s="83">
        <f t="shared" si="13"/>
        <v>8.0641166345182466E-3</v>
      </c>
      <c r="AA35" s="80">
        <f t="shared" ref="AA35:AA93" si="15">IF(C35="","",$M$140+$M$141*C35+$M$142*C35^2+$M$143*C35^3)</f>
        <v>4.7092083426017095E-3</v>
      </c>
      <c r="AB35" s="81">
        <f t="shared" si="14"/>
        <v>8.2253374988745644E-8</v>
      </c>
      <c r="AC35" s="27"/>
      <c r="AD35" s="27"/>
    </row>
    <row r="36" spans="1:30">
      <c r="A36" s="74">
        <f t="shared" si="0"/>
        <v>1</v>
      </c>
      <c r="B36" s="119">
        <v>3</v>
      </c>
      <c r="C36" s="127">
        <v>0.04</v>
      </c>
      <c r="D36" s="84">
        <v>9.967896729830247E-3</v>
      </c>
      <c r="E36" s="124">
        <f t="shared" si="1"/>
        <v>1.6000000000000001E-3</v>
      </c>
      <c r="F36" s="125">
        <f t="shared" si="2"/>
        <v>6.4000000000000011E-5</v>
      </c>
      <c r="G36" s="125">
        <f t="shared" si="3"/>
        <v>2.5600000000000001E-6</v>
      </c>
      <c r="H36" s="125">
        <f t="shared" si="4"/>
        <v>1.024E-7</v>
      </c>
      <c r="I36" s="125">
        <f t="shared" si="5"/>
        <v>4.0959999999999999E-9</v>
      </c>
      <c r="J36" s="125">
        <f t="shared" si="6"/>
        <v>1.6384000000000003E-10</v>
      </c>
      <c r="K36" s="125">
        <f t="shared" si="7"/>
        <v>6.5536000000000007E-12</v>
      </c>
      <c r="L36" s="126">
        <f t="shared" si="8"/>
        <v>2.6214400000000002E-13</v>
      </c>
      <c r="M36" s="29"/>
      <c r="N36" s="29"/>
      <c r="O36" s="29"/>
      <c r="P36" s="30"/>
      <c r="Q36" s="27"/>
      <c r="R36" s="80">
        <f t="shared" si="9"/>
        <v>9.967896729830247E-3</v>
      </c>
      <c r="S36" s="80">
        <f t="shared" si="10"/>
        <v>3.9871586919320987E-4</v>
      </c>
      <c r="T36" s="80">
        <f t="shared" si="11"/>
        <v>1.5948634767728395E-5</v>
      </c>
      <c r="U36" s="81">
        <f t="shared" si="12"/>
        <v>6.3794539070913595E-7</v>
      </c>
      <c r="V36" s="27"/>
      <c r="W36" s="27"/>
      <c r="X36" s="27"/>
      <c r="Y36" s="82"/>
      <c r="Z36" s="83">
        <f t="shared" si="13"/>
        <v>7.1958806555017978E-3</v>
      </c>
      <c r="AA36" s="80">
        <f t="shared" si="15"/>
        <v>9.8963278201280279E-3</v>
      </c>
      <c r="AB36" s="81">
        <f t="shared" si="14"/>
        <v>5.1221088359643897E-9</v>
      </c>
      <c r="AC36" s="27"/>
      <c r="AD36" s="27"/>
    </row>
    <row r="37" spans="1:30">
      <c r="A37" s="74">
        <f t="shared" si="0"/>
        <v>1</v>
      </c>
      <c r="B37" s="75">
        <v>4</v>
      </c>
      <c r="C37" s="127">
        <v>0.06</v>
      </c>
      <c r="D37" s="84">
        <v>1.4901069428610272E-2</v>
      </c>
      <c r="E37" s="124">
        <f t="shared" si="1"/>
        <v>3.5999999999999999E-3</v>
      </c>
      <c r="F37" s="125">
        <f t="shared" si="2"/>
        <v>2.1599999999999999E-4</v>
      </c>
      <c r="G37" s="125">
        <f t="shared" si="3"/>
        <v>1.296E-5</v>
      </c>
      <c r="H37" s="125">
        <f t="shared" si="4"/>
        <v>7.7759999999999997E-7</v>
      </c>
      <c r="I37" s="125">
        <f t="shared" si="5"/>
        <v>4.6655999999999998E-8</v>
      </c>
      <c r="J37" s="125">
        <f t="shared" si="6"/>
        <v>2.7993599999999997E-9</v>
      </c>
      <c r="K37" s="125">
        <f t="shared" si="7"/>
        <v>1.679616E-10</v>
      </c>
      <c r="L37" s="126">
        <f t="shared" si="8"/>
        <v>1.0077696E-11</v>
      </c>
      <c r="M37" s="29"/>
      <c r="N37" s="29"/>
      <c r="O37" s="29"/>
      <c r="P37" s="30"/>
      <c r="Q37" s="27"/>
      <c r="R37" s="80">
        <f t="shared" si="9"/>
        <v>1.4901069428610272E-2</v>
      </c>
      <c r="S37" s="80">
        <f t="shared" si="10"/>
        <v>8.9406416571661629E-4</v>
      </c>
      <c r="T37" s="80">
        <f t="shared" si="11"/>
        <v>5.364384994299698E-5</v>
      </c>
      <c r="U37" s="81">
        <f t="shared" si="12"/>
        <v>3.2186309965798184E-6</v>
      </c>
      <c r="V37" s="27"/>
      <c r="W37" s="27"/>
      <c r="X37" s="27"/>
      <c r="Y37" s="82"/>
      <c r="Z37" s="83">
        <f t="shared" si="13"/>
        <v>6.383269204746746E-3</v>
      </c>
      <c r="AA37" s="80">
        <f t="shared" si="15"/>
        <v>1.4980284377123678E-2</v>
      </c>
      <c r="AB37" s="81">
        <f t="shared" si="14"/>
        <v>6.275008067981569E-9</v>
      </c>
      <c r="AC37" s="27"/>
      <c r="AD37" s="27"/>
    </row>
    <row r="38" spans="1:30">
      <c r="A38" s="74">
        <f t="shared" si="0"/>
        <v>1</v>
      </c>
      <c r="B38" s="75">
        <v>5</v>
      </c>
      <c r="C38" s="127">
        <v>0.08</v>
      </c>
      <c r="D38" s="84">
        <v>1.9783803029272292E-2</v>
      </c>
      <c r="E38" s="124">
        <f t="shared" si="1"/>
        <v>6.4000000000000003E-3</v>
      </c>
      <c r="F38" s="125">
        <f t="shared" si="2"/>
        <v>5.1200000000000009E-4</v>
      </c>
      <c r="G38" s="125">
        <f t="shared" si="3"/>
        <v>4.0960000000000001E-5</v>
      </c>
      <c r="H38" s="125">
        <f t="shared" si="4"/>
        <v>3.2768000000000001E-6</v>
      </c>
      <c r="I38" s="125">
        <f t="shared" si="5"/>
        <v>2.6214399999999999E-7</v>
      </c>
      <c r="J38" s="125">
        <f t="shared" si="6"/>
        <v>2.0971520000000003E-8</v>
      </c>
      <c r="K38" s="125">
        <f t="shared" si="7"/>
        <v>1.6777216000000002E-9</v>
      </c>
      <c r="L38" s="126">
        <f t="shared" si="8"/>
        <v>1.3421772800000001E-10</v>
      </c>
      <c r="M38" s="29"/>
      <c r="N38" s="29"/>
      <c r="O38" s="29"/>
      <c r="P38" s="30"/>
      <c r="Q38" s="27"/>
      <c r="R38" s="80">
        <f t="shared" si="9"/>
        <v>1.9783803029272292E-2</v>
      </c>
      <c r="S38" s="80">
        <f t="shared" si="10"/>
        <v>1.5827042423417835E-3</v>
      </c>
      <c r="T38" s="80">
        <f t="shared" si="11"/>
        <v>1.2661633938734269E-4</v>
      </c>
      <c r="U38" s="81">
        <f t="shared" si="12"/>
        <v>1.0129307150987415E-5</v>
      </c>
      <c r="V38" s="27"/>
      <c r="W38" s="27"/>
      <c r="X38" s="27"/>
      <c r="Y38" s="82"/>
      <c r="Z38" s="83">
        <f t="shared" si="13"/>
        <v>5.6268947345007939E-3</v>
      </c>
      <c r="AA38" s="80">
        <f t="shared" si="15"/>
        <v>1.9962238433658259E-2</v>
      </c>
      <c r="AB38" s="81">
        <f t="shared" si="14"/>
        <v>3.1839193538383495E-8</v>
      </c>
      <c r="AC38" s="27"/>
      <c r="AD38" s="27"/>
    </row>
    <row r="39" spans="1:30">
      <c r="A39" s="74">
        <f t="shared" si="0"/>
        <v>1</v>
      </c>
      <c r="B39" s="75">
        <v>6</v>
      </c>
      <c r="C39" s="127">
        <v>0.1</v>
      </c>
      <c r="D39" s="84">
        <v>2.4606589392309166E-2</v>
      </c>
      <c r="E39" s="124">
        <f t="shared" si="1"/>
        <v>1.0000000000000002E-2</v>
      </c>
      <c r="F39" s="125">
        <f t="shared" si="2"/>
        <v>1.0000000000000002E-3</v>
      </c>
      <c r="G39" s="125">
        <f t="shared" si="3"/>
        <v>1.0000000000000005E-4</v>
      </c>
      <c r="H39" s="125">
        <f t="shared" si="4"/>
        <v>1.0000000000000006E-5</v>
      </c>
      <c r="I39" s="125">
        <f t="shared" si="5"/>
        <v>1.0000000000000006E-6</v>
      </c>
      <c r="J39" s="125">
        <f t="shared" si="6"/>
        <v>1.0000000000000007E-7</v>
      </c>
      <c r="K39" s="125">
        <f t="shared" si="7"/>
        <v>1.0000000000000008E-8</v>
      </c>
      <c r="L39" s="126">
        <f t="shared" si="8"/>
        <v>1.0000000000000009E-9</v>
      </c>
      <c r="M39" s="29"/>
      <c r="N39" s="29"/>
      <c r="O39" s="29"/>
      <c r="P39" s="30"/>
      <c r="Q39" s="27"/>
      <c r="R39" s="80">
        <f t="shared" si="9"/>
        <v>2.4606589392309166E-2</v>
      </c>
      <c r="S39" s="80">
        <f t="shared" si="10"/>
        <v>2.4606589392309167E-3</v>
      </c>
      <c r="T39" s="80">
        <f t="shared" si="11"/>
        <v>2.460658939230917E-4</v>
      </c>
      <c r="U39" s="81">
        <f t="shared" si="12"/>
        <v>2.4606589392309173E-5</v>
      </c>
      <c r="V39" s="27"/>
      <c r="W39" s="27"/>
      <c r="X39" s="27"/>
      <c r="Y39" s="82"/>
      <c r="Z39" s="83">
        <f t="shared" si="13"/>
        <v>4.9266142199442878E-3</v>
      </c>
      <c r="AA39" s="80">
        <f t="shared" si="15"/>
        <v>2.4843350409801349E-2</v>
      </c>
      <c r="AB39" s="81">
        <f t="shared" si="14"/>
        <v>5.6055779403933934E-8</v>
      </c>
      <c r="AC39" s="27"/>
      <c r="AD39" s="27"/>
    </row>
    <row r="40" spans="1:30">
      <c r="A40" s="74">
        <f t="shared" si="0"/>
        <v>1</v>
      </c>
      <c r="B40" s="75">
        <v>7</v>
      </c>
      <c r="C40" s="127">
        <v>0.12</v>
      </c>
      <c r="D40" s="84">
        <v>2.9361684750365779E-2</v>
      </c>
      <c r="E40" s="124">
        <f t="shared" si="1"/>
        <v>1.44E-2</v>
      </c>
      <c r="F40" s="125">
        <f t="shared" si="2"/>
        <v>1.7279999999999999E-3</v>
      </c>
      <c r="G40" s="125">
        <f t="shared" si="3"/>
        <v>2.0735999999999999E-4</v>
      </c>
      <c r="H40" s="125">
        <f t="shared" si="4"/>
        <v>2.4883199999999999E-5</v>
      </c>
      <c r="I40" s="125">
        <f t="shared" si="5"/>
        <v>2.9859839999999999E-6</v>
      </c>
      <c r="J40" s="125">
        <f t="shared" si="6"/>
        <v>3.5831807999999997E-7</v>
      </c>
      <c r="K40" s="125">
        <f t="shared" si="7"/>
        <v>4.29981696E-8</v>
      </c>
      <c r="L40" s="126">
        <f t="shared" si="8"/>
        <v>5.1597803520000001E-9</v>
      </c>
      <c r="M40" s="29"/>
      <c r="N40" s="29"/>
      <c r="O40" s="29"/>
      <c r="P40" s="30"/>
      <c r="Q40" s="27"/>
      <c r="R40" s="80">
        <f t="shared" si="9"/>
        <v>2.9361684750365779E-2</v>
      </c>
      <c r="S40" s="80">
        <f t="shared" si="10"/>
        <v>3.5234021700438932E-3</v>
      </c>
      <c r="T40" s="80">
        <f t="shared" si="11"/>
        <v>4.2280826040526722E-4</v>
      </c>
      <c r="U40" s="81">
        <f t="shared" si="12"/>
        <v>5.0736991248632062E-5</v>
      </c>
      <c r="V40" s="27"/>
      <c r="W40" s="27"/>
      <c r="X40" s="27"/>
      <c r="Y40" s="82"/>
      <c r="Z40" s="83">
        <f t="shared" si="13"/>
        <v>4.2817063477335405E-3</v>
      </c>
      <c r="AA40" s="80">
        <f t="shared" si="15"/>
        <v>2.9624780725622527E-2</v>
      </c>
      <c r="AB40" s="81">
        <f t="shared" si="14"/>
        <v>6.9219492196299492E-8</v>
      </c>
      <c r="AC40" s="27"/>
      <c r="AD40" s="27"/>
    </row>
    <row r="41" spans="1:30">
      <c r="A41" s="74">
        <f t="shared" si="0"/>
        <v>1</v>
      </c>
      <c r="B41" s="75">
        <v>8</v>
      </c>
      <c r="C41" s="127">
        <v>0.14000000000000001</v>
      </c>
      <c r="D41" s="84">
        <v>3.4042791345359917E-2</v>
      </c>
      <c r="E41" s="124">
        <f t="shared" si="1"/>
        <v>1.9600000000000003E-2</v>
      </c>
      <c r="F41" s="125">
        <f t="shared" si="2"/>
        <v>2.7440000000000008E-3</v>
      </c>
      <c r="G41" s="125">
        <f t="shared" si="3"/>
        <v>3.8416000000000009E-4</v>
      </c>
      <c r="H41" s="125">
        <f t="shared" si="4"/>
        <v>5.3782400000000016E-5</v>
      </c>
      <c r="I41" s="125">
        <f t="shared" si="5"/>
        <v>7.5295360000000032E-6</v>
      </c>
      <c r="J41" s="125">
        <f t="shared" si="6"/>
        <v>1.0541350400000005E-6</v>
      </c>
      <c r="K41" s="125">
        <f t="shared" si="7"/>
        <v>1.4757890560000008E-7</v>
      </c>
      <c r="L41" s="126">
        <f t="shared" si="8"/>
        <v>2.0661046784000011E-8</v>
      </c>
      <c r="M41" s="29"/>
      <c r="N41" s="29"/>
      <c r="O41" s="29"/>
      <c r="P41" s="30"/>
      <c r="Q41" s="27"/>
      <c r="R41" s="80">
        <f t="shared" si="9"/>
        <v>3.4042791345359917E-2</v>
      </c>
      <c r="S41" s="80">
        <f t="shared" si="10"/>
        <v>4.7659907883503888E-3</v>
      </c>
      <c r="T41" s="80">
        <f t="shared" si="11"/>
        <v>6.672387103690545E-4</v>
      </c>
      <c r="U41" s="81">
        <f t="shared" si="12"/>
        <v>9.3413419451667635E-5</v>
      </c>
      <c r="V41" s="27"/>
      <c r="W41" s="27"/>
      <c r="X41" s="27"/>
      <c r="Y41" s="82"/>
      <c r="Z41" s="83">
        <f t="shared" si="13"/>
        <v>3.6910050385875835E-3</v>
      </c>
      <c r="AA41" s="80">
        <f t="shared" si="15"/>
        <v>3.43076898011914E-2</v>
      </c>
      <c r="AB41" s="81">
        <f t="shared" si="14"/>
        <v>7.0171191901904249E-8</v>
      </c>
      <c r="AC41" s="27"/>
      <c r="AD41" s="27"/>
    </row>
    <row r="42" spans="1:30">
      <c r="A42" s="74">
        <f t="shared" si="0"/>
        <v>1</v>
      </c>
      <c r="B42" s="75">
        <v>9</v>
      </c>
      <c r="C42" s="127">
        <v>0.16</v>
      </c>
      <c r="D42" s="84">
        <v>3.8644821206444309E-2</v>
      </c>
      <c r="E42" s="124">
        <f t="shared" si="1"/>
        <v>2.5600000000000001E-2</v>
      </c>
      <c r="F42" s="125">
        <f t="shared" si="2"/>
        <v>4.0960000000000007E-3</v>
      </c>
      <c r="G42" s="125">
        <f t="shared" si="3"/>
        <v>6.5536000000000001E-4</v>
      </c>
      <c r="H42" s="125">
        <f t="shared" si="4"/>
        <v>1.048576E-4</v>
      </c>
      <c r="I42" s="125">
        <f t="shared" si="5"/>
        <v>1.6777216E-5</v>
      </c>
      <c r="J42" s="125">
        <f t="shared" si="6"/>
        <v>2.6843545600000004E-6</v>
      </c>
      <c r="K42" s="125">
        <f t="shared" si="7"/>
        <v>4.2949672960000004E-7</v>
      </c>
      <c r="L42" s="126">
        <f t="shared" si="8"/>
        <v>6.8719476736000005E-8</v>
      </c>
      <c r="M42" s="29"/>
      <c r="N42" s="29"/>
      <c r="O42" s="29"/>
      <c r="P42" s="30"/>
      <c r="Q42" s="27"/>
      <c r="R42" s="80">
        <f t="shared" si="9"/>
        <v>3.8644821206444309E-2</v>
      </c>
      <c r="S42" s="80">
        <f t="shared" si="10"/>
        <v>6.1831713930310898E-3</v>
      </c>
      <c r="T42" s="80">
        <f t="shared" si="11"/>
        <v>9.8930742288497425E-4</v>
      </c>
      <c r="U42" s="81">
        <f t="shared" si="12"/>
        <v>1.5828918766159591E-4</v>
      </c>
      <c r="V42" s="27"/>
      <c r="W42" s="27"/>
      <c r="X42" s="27"/>
      <c r="Y42" s="82"/>
      <c r="Z42" s="83">
        <f t="shared" si="13"/>
        <v>3.1530035664316565E-3</v>
      </c>
      <c r="AA42" s="80">
        <f t="shared" si="15"/>
        <v>3.8893238056577538E-2</v>
      </c>
      <c r="AB42" s="81">
        <f t="shared" si="14"/>
        <v>6.1710931430115155E-8</v>
      </c>
      <c r="AC42" s="27"/>
      <c r="AD42" s="27"/>
    </row>
    <row r="43" spans="1:30">
      <c r="A43" s="74">
        <f t="shared" si="0"/>
        <v>1</v>
      </c>
      <c r="B43" s="75">
        <v>10</v>
      </c>
      <c r="C43" s="127">
        <v>0.18</v>
      </c>
      <c r="D43" s="84">
        <v>4.316371330740771E-2</v>
      </c>
      <c r="E43" s="124">
        <f t="shared" si="1"/>
        <v>3.2399999999999998E-2</v>
      </c>
      <c r="F43" s="125">
        <f t="shared" si="2"/>
        <v>5.8319999999999995E-3</v>
      </c>
      <c r="G43" s="125">
        <f t="shared" si="3"/>
        <v>1.0497599999999998E-3</v>
      </c>
      <c r="H43" s="125">
        <f t="shared" si="4"/>
        <v>1.8895679999999997E-4</v>
      </c>
      <c r="I43" s="125">
        <f t="shared" si="5"/>
        <v>3.4012223999999992E-5</v>
      </c>
      <c r="J43" s="125">
        <f t="shared" si="6"/>
        <v>6.1222003199999982E-6</v>
      </c>
      <c r="K43" s="125">
        <f t="shared" si="7"/>
        <v>1.1019960575999996E-6</v>
      </c>
      <c r="L43" s="126">
        <f t="shared" si="8"/>
        <v>1.9835929036799993E-7</v>
      </c>
      <c r="M43" s="29"/>
      <c r="N43" s="29"/>
      <c r="O43" s="29"/>
      <c r="P43" s="30"/>
      <c r="Q43" s="27"/>
      <c r="R43" s="80">
        <f t="shared" si="9"/>
        <v>4.316371330740771E-2</v>
      </c>
      <c r="S43" s="80">
        <f t="shared" si="10"/>
        <v>7.7694683953333874E-3</v>
      </c>
      <c r="T43" s="80">
        <f t="shared" si="11"/>
        <v>1.3985043111600097E-3</v>
      </c>
      <c r="U43" s="81">
        <f t="shared" si="12"/>
        <v>2.5173077600880174E-4</v>
      </c>
      <c r="V43" s="27"/>
      <c r="W43" s="27"/>
      <c r="X43" s="27"/>
      <c r="Y43" s="82"/>
      <c r="Z43" s="83">
        <f t="shared" si="13"/>
        <v>2.6659377974895641E-3</v>
      </c>
      <c r="AA43" s="80">
        <f t="shared" si="15"/>
        <v>4.3382585911850534E-2</v>
      </c>
      <c r="AB43" s="81">
        <f t="shared" si="14"/>
        <v>4.7905216975584935E-8</v>
      </c>
      <c r="AC43" s="27"/>
      <c r="AD43" s="27"/>
    </row>
    <row r="44" spans="1:30">
      <c r="A44" s="74">
        <f t="shared" si="0"/>
        <v>1</v>
      </c>
      <c r="B44" s="75">
        <v>11</v>
      </c>
      <c r="C44" s="127">
        <v>0.2</v>
      </c>
      <c r="D44" s="84">
        <v>4.7596286875861364E-2</v>
      </c>
      <c r="E44" s="124">
        <f t="shared" si="1"/>
        <v>4.0000000000000008E-2</v>
      </c>
      <c r="F44" s="125">
        <f t="shared" si="2"/>
        <v>8.0000000000000019E-3</v>
      </c>
      <c r="G44" s="125">
        <f t="shared" si="3"/>
        <v>1.6000000000000007E-3</v>
      </c>
      <c r="H44" s="125">
        <f t="shared" si="4"/>
        <v>3.2000000000000019E-4</v>
      </c>
      <c r="I44" s="125">
        <f t="shared" si="5"/>
        <v>6.4000000000000038E-5</v>
      </c>
      <c r="J44" s="125">
        <f t="shared" si="6"/>
        <v>1.280000000000001E-5</v>
      </c>
      <c r="K44" s="125">
        <f t="shared" si="7"/>
        <v>2.5600000000000022E-6</v>
      </c>
      <c r="L44" s="126">
        <f t="shared" si="8"/>
        <v>5.1200000000000046E-7</v>
      </c>
      <c r="M44" s="29"/>
      <c r="N44" s="29"/>
      <c r="O44" s="29"/>
      <c r="P44" s="30"/>
      <c r="Q44" s="27"/>
      <c r="R44" s="80">
        <f t="shared" si="9"/>
        <v>4.7596286875861364E-2</v>
      </c>
      <c r="S44" s="80">
        <f t="shared" si="10"/>
        <v>9.5192573751722732E-3</v>
      </c>
      <c r="T44" s="80">
        <f t="shared" si="11"/>
        <v>1.9038514750344549E-3</v>
      </c>
      <c r="U44" s="81">
        <f t="shared" si="12"/>
        <v>3.8077029500689099E-4</v>
      </c>
      <c r="V44" s="27"/>
      <c r="W44" s="27"/>
      <c r="X44" s="27"/>
      <c r="Y44" s="82"/>
      <c r="Z44" s="83">
        <f t="shared" si="13"/>
        <v>2.2278538440854171E-3</v>
      </c>
      <c r="AA44" s="80">
        <f t="shared" si="15"/>
        <v>4.7776893787079971E-2</v>
      </c>
      <c r="AB44" s="81">
        <f t="shared" si="14"/>
        <v>3.2618856379925911E-8</v>
      </c>
      <c r="AC44" s="27"/>
      <c r="AD44" s="27"/>
    </row>
    <row r="45" spans="1:30">
      <c r="A45" s="74">
        <f t="shared" si="0"/>
        <v>1</v>
      </c>
      <c r="B45" s="75">
        <v>12</v>
      </c>
      <c r="C45" s="127">
        <v>0.22</v>
      </c>
      <c r="D45" s="84">
        <v>5.1940120294661891E-2</v>
      </c>
      <c r="E45" s="124">
        <f t="shared" si="1"/>
        <v>4.8399999999999999E-2</v>
      </c>
      <c r="F45" s="125">
        <f t="shared" si="2"/>
        <v>1.0647999999999999E-2</v>
      </c>
      <c r="G45" s="125">
        <f t="shared" si="3"/>
        <v>2.34256E-3</v>
      </c>
      <c r="H45" s="125">
        <f t="shared" si="4"/>
        <v>5.1536319999999998E-4</v>
      </c>
      <c r="I45" s="125">
        <f t="shared" si="5"/>
        <v>1.1337990399999999E-4</v>
      </c>
      <c r="J45" s="125">
        <f t="shared" si="6"/>
        <v>2.4943578880000001E-5</v>
      </c>
      <c r="K45" s="125">
        <f t="shared" si="7"/>
        <v>5.4875873536E-6</v>
      </c>
      <c r="L45" s="126">
        <f t="shared" si="8"/>
        <v>1.2072692177920001E-6</v>
      </c>
      <c r="M45" s="29"/>
      <c r="N45" s="29"/>
      <c r="O45" s="29"/>
      <c r="P45" s="30"/>
      <c r="Q45" s="27"/>
      <c r="R45" s="80">
        <f t="shared" si="9"/>
        <v>5.1940120294661891E-2</v>
      </c>
      <c r="S45" s="80">
        <f t="shared" si="10"/>
        <v>1.1426826464825617E-2</v>
      </c>
      <c r="T45" s="80">
        <f t="shared" si="11"/>
        <v>2.5139018222616353E-3</v>
      </c>
      <c r="U45" s="81">
        <f t="shared" si="12"/>
        <v>5.5305840089755977E-4</v>
      </c>
      <c r="V45" s="27"/>
      <c r="W45" s="27"/>
      <c r="X45" s="27"/>
      <c r="Y45" s="82"/>
      <c r="Z45" s="83">
        <f t="shared" si="13"/>
        <v>1.8366635840466252E-3</v>
      </c>
      <c r="AA45" s="80">
        <f t="shared" si="15"/>
        <v>5.2077322102335434E-2</v>
      </c>
      <c r="AB45" s="81">
        <f t="shared" si="14"/>
        <v>1.8824336028887779E-8</v>
      </c>
      <c r="AC45" s="27"/>
      <c r="AD45" s="27"/>
    </row>
    <row r="46" spans="1:30">
      <c r="A46" s="74">
        <f t="shared" si="0"/>
        <v>1</v>
      </c>
      <c r="B46" s="75">
        <v>13</v>
      </c>
      <c r="C46" s="127">
        <v>0.24</v>
      </c>
      <c r="D46" s="84">
        <v>5.6193448937933432E-2</v>
      </c>
      <c r="E46" s="124">
        <f t="shared" si="1"/>
        <v>5.7599999999999998E-2</v>
      </c>
      <c r="F46" s="125">
        <f t="shared" si="2"/>
        <v>1.3823999999999999E-2</v>
      </c>
      <c r="G46" s="125">
        <f t="shared" si="3"/>
        <v>3.3177599999999999E-3</v>
      </c>
      <c r="H46" s="125">
        <f t="shared" si="4"/>
        <v>7.9626239999999997E-4</v>
      </c>
      <c r="I46" s="125">
        <f t="shared" si="5"/>
        <v>1.9110297599999999E-4</v>
      </c>
      <c r="J46" s="125">
        <f t="shared" si="6"/>
        <v>4.5864714239999996E-5</v>
      </c>
      <c r="K46" s="125">
        <f t="shared" si="7"/>
        <v>1.10075314176E-5</v>
      </c>
      <c r="L46" s="126">
        <f t="shared" si="8"/>
        <v>2.6418075402240001E-6</v>
      </c>
      <c r="M46" s="29"/>
      <c r="N46" s="29"/>
      <c r="O46" s="29"/>
      <c r="P46" s="30"/>
      <c r="Q46" s="27"/>
      <c r="R46" s="80">
        <f t="shared" si="9"/>
        <v>5.6193448937933432E-2</v>
      </c>
      <c r="S46" s="80">
        <f t="shared" si="10"/>
        <v>1.3486427745104024E-2</v>
      </c>
      <c r="T46" s="80">
        <f t="shared" si="11"/>
        <v>3.2367426588249654E-3</v>
      </c>
      <c r="U46" s="81">
        <f t="shared" si="12"/>
        <v>7.7681823811799177E-4</v>
      </c>
      <c r="V46" s="27"/>
      <c r="W46" s="27"/>
      <c r="X46" s="27"/>
      <c r="Y46" s="82"/>
      <c r="Z46" s="83">
        <f t="shared" si="13"/>
        <v>1.4901904193443574E-3</v>
      </c>
      <c r="AA46" s="80">
        <f t="shared" si="15"/>
        <v>5.6285031277686519E-2</v>
      </c>
      <c r="AB46" s="81">
        <f t="shared" si="14"/>
        <v>8.3873249546497769E-9</v>
      </c>
      <c r="AC46" s="27"/>
      <c r="AD46" s="27"/>
    </row>
    <row r="47" spans="1:30">
      <c r="A47" s="74">
        <f t="shared" si="0"/>
        <v>1</v>
      </c>
      <c r="B47" s="75">
        <v>14</v>
      </c>
      <c r="C47" s="127">
        <v>0.26</v>
      </c>
      <c r="D47" s="84">
        <v>6.0355077602464224E-2</v>
      </c>
      <c r="E47" s="124">
        <f t="shared" si="1"/>
        <v>6.7600000000000007E-2</v>
      </c>
      <c r="F47" s="125">
        <f t="shared" si="2"/>
        <v>1.7576000000000001E-2</v>
      </c>
      <c r="G47" s="125">
        <f t="shared" si="3"/>
        <v>4.5697600000000008E-3</v>
      </c>
      <c r="H47" s="125">
        <f t="shared" si="4"/>
        <v>1.1881376000000003E-3</v>
      </c>
      <c r="I47" s="125">
        <f t="shared" si="5"/>
        <v>3.0891577600000009E-4</v>
      </c>
      <c r="J47" s="125">
        <f t="shared" si="6"/>
        <v>8.0318101760000016E-5</v>
      </c>
      <c r="K47" s="125">
        <f t="shared" si="7"/>
        <v>2.0882706457600008E-5</v>
      </c>
      <c r="L47" s="126">
        <f t="shared" si="8"/>
        <v>5.4295036789760025E-6</v>
      </c>
      <c r="M47" s="29"/>
      <c r="N47" s="29"/>
      <c r="O47" s="29"/>
      <c r="P47" s="30"/>
      <c r="Q47" s="27"/>
      <c r="R47" s="80">
        <f t="shared" si="9"/>
        <v>6.0355077602464224E-2</v>
      </c>
      <c r="S47" s="80">
        <f t="shared" si="10"/>
        <v>1.5692320176640698E-2</v>
      </c>
      <c r="T47" s="80">
        <f t="shared" si="11"/>
        <v>4.0800032459265816E-3</v>
      </c>
      <c r="U47" s="81">
        <f t="shared" si="12"/>
        <v>1.0608008439409113E-3</v>
      </c>
      <c r="V47" s="27"/>
      <c r="W47" s="27"/>
      <c r="X47" s="27"/>
      <c r="Y47" s="82"/>
      <c r="Z47" s="83">
        <f t="shared" si="13"/>
        <v>1.1862069980638833E-3</v>
      </c>
      <c r="AA47" s="80">
        <f t="shared" si="15"/>
        <v>6.0401181733202809E-2</v>
      </c>
      <c r="AB47" s="81">
        <f t="shared" si="14"/>
        <v>2.1255908711605222E-9</v>
      </c>
      <c r="AC47" s="27"/>
      <c r="AD47" s="27"/>
    </row>
    <row r="48" spans="1:30">
      <c r="A48" s="74">
        <f t="shared" si="0"/>
        <v>1</v>
      </c>
      <c r="B48" s="75">
        <v>15</v>
      </c>
      <c r="C48" s="127">
        <v>0.28000000000000003</v>
      </c>
      <c r="D48" s="84">
        <v>6.4424304598586127E-2</v>
      </c>
      <c r="E48" s="124">
        <f t="shared" si="1"/>
        <v>7.8400000000000011E-2</v>
      </c>
      <c r="F48" s="125">
        <f t="shared" si="2"/>
        <v>2.1952000000000006E-2</v>
      </c>
      <c r="G48" s="125">
        <f t="shared" si="3"/>
        <v>6.1465600000000014E-3</v>
      </c>
      <c r="H48" s="125">
        <f t="shared" si="4"/>
        <v>1.7210368000000005E-3</v>
      </c>
      <c r="I48" s="125">
        <f t="shared" si="5"/>
        <v>4.818903040000002E-4</v>
      </c>
      <c r="J48" s="125">
        <f t="shared" si="6"/>
        <v>1.3492928512000006E-4</v>
      </c>
      <c r="K48" s="125">
        <f t="shared" si="7"/>
        <v>3.778019983360002E-5</v>
      </c>
      <c r="L48" s="126">
        <f t="shared" si="8"/>
        <v>1.0578455953408006E-5</v>
      </c>
      <c r="M48" s="29"/>
      <c r="N48" s="29"/>
      <c r="O48" s="29"/>
      <c r="P48" s="30"/>
      <c r="Q48" s="27"/>
      <c r="R48" s="80">
        <f t="shared" si="9"/>
        <v>6.4424304598586127E-2</v>
      </c>
      <c r="S48" s="80">
        <f t="shared" si="10"/>
        <v>1.8038805287604116E-2</v>
      </c>
      <c r="T48" s="80">
        <f t="shared" si="11"/>
        <v>5.0508654805291528E-3</v>
      </c>
      <c r="U48" s="81">
        <f t="shared" si="12"/>
        <v>1.4142423345481631E-3</v>
      </c>
      <c r="V48" s="27"/>
      <c r="W48" s="27"/>
      <c r="X48" s="27"/>
      <c r="Y48" s="82"/>
      <c r="Z48" s="83">
        <f t="shared" si="13"/>
        <v>9.224662157705885E-4</v>
      </c>
      <c r="AA48" s="80">
        <f t="shared" si="15"/>
        <v>6.4426933888953875E-2</v>
      </c>
      <c r="AB48" s="81">
        <f t="shared" si="14"/>
        <v>6.9131678379309802E-12</v>
      </c>
      <c r="AC48" s="27"/>
      <c r="AD48" s="27"/>
    </row>
    <row r="49" spans="1:30">
      <c r="A49" s="74">
        <f t="shared" si="0"/>
        <v>1</v>
      </c>
      <c r="B49" s="75">
        <v>16</v>
      </c>
      <c r="C49" s="127">
        <v>0.3</v>
      </c>
      <c r="D49" s="84">
        <v>6.8400855432936808E-2</v>
      </c>
      <c r="E49" s="124">
        <f t="shared" si="1"/>
        <v>0.09</v>
      </c>
      <c r="F49" s="125">
        <f t="shared" si="2"/>
        <v>2.7E-2</v>
      </c>
      <c r="G49" s="125">
        <f t="shared" si="3"/>
        <v>8.0999999999999996E-3</v>
      </c>
      <c r="H49" s="125">
        <f t="shared" si="4"/>
        <v>2.4299999999999999E-3</v>
      </c>
      <c r="I49" s="125">
        <f t="shared" si="5"/>
        <v>7.2899999999999994E-4</v>
      </c>
      <c r="J49" s="125">
        <f t="shared" si="6"/>
        <v>2.1869999999999998E-4</v>
      </c>
      <c r="K49" s="125">
        <f t="shared" si="7"/>
        <v>6.560999999999999E-5</v>
      </c>
      <c r="L49" s="126">
        <f t="shared" si="8"/>
        <v>1.9682999999999998E-5</v>
      </c>
      <c r="M49" s="29"/>
      <c r="N49" s="29"/>
      <c r="O49" s="29"/>
      <c r="P49" s="30"/>
      <c r="Q49" s="27"/>
      <c r="R49" s="80">
        <f t="shared" si="9"/>
        <v>6.8400855432936808E-2</v>
      </c>
      <c r="S49" s="80">
        <f t="shared" si="10"/>
        <v>2.052025662988104E-2</v>
      </c>
      <c r="T49" s="80">
        <f t="shared" si="11"/>
        <v>6.1560769889643123E-3</v>
      </c>
      <c r="U49" s="81">
        <f t="shared" si="12"/>
        <v>1.8468230966892938E-3</v>
      </c>
      <c r="V49" s="27"/>
      <c r="W49" s="27"/>
      <c r="X49" s="27"/>
      <c r="Y49" s="82"/>
      <c r="Z49" s="83">
        <f t="shared" si="13"/>
        <v>6.967265430296339E-4</v>
      </c>
      <c r="AA49" s="80">
        <f t="shared" si="15"/>
        <v>6.8363448165009319E-2</v>
      </c>
      <c r="AB49" s="81">
        <f t="shared" si="14"/>
        <v>1.3993036937989428E-9</v>
      </c>
      <c r="AC49" s="27"/>
      <c r="AD49" s="27"/>
    </row>
    <row r="50" spans="1:30">
      <c r="A50" s="74">
        <f t="shared" si="0"/>
        <v>1</v>
      </c>
      <c r="B50" s="75">
        <v>17</v>
      </c>
      <c r="C50" s="127">
        <v>0.32</v>
      </c>
      <c r="D50" s="84">
        <v>7.2284824566596226E-2</v>
      </c>
      <c r="E50" s="124">
        <f t="shared" si="1"/>
        <v>0.1024</v>
      </c>
      <c r="F50" s="125">
        <f t="shared" si="2"/>
        <v>3.2768000000000005E-2</v>
      </c>
      <c r="G50" s="125">
        <f t="shared" si="3"/>
        <v>1.048576E-2</v>
      </c>
      <c r="H50" s="125">
        <f t="shared" si="4"/>
        <v>3.3554432000000001E-3</v>
      </c>
      <c r="I50" s="125">
        <f t="shared" si="5"/>
        <v>1.073741824E-3</v>
      </c>
      <c r="J50" s="125">
        <f t="shared" si="6"/>
        <v>3.4359738368000005E-4</v>
      </c>
      <c r="K50" s="125">
        <f t="shared" si="7"/>
        <v>1.0995116277760001E-4</v>
      </c>
      <c r="L50" s="126">
        <f t="shared" si="8"/>
        <v>3.5184372088832003E-5</v>
      </c>
      <c r="M50" s="29"/>
      <c r="N50" s="29"/>
      <c r="O50" s="29"/>
      <c r="P50" s="30"/>
      <c r="Q50" s="27"/>
      <c r="R50" s="80">
        <f t="shared" si="9"/>
        <v>7.2284824566596226E-2</v>
      </c>
      <c r="S50" s="80">
        <f t="shared" si="10"/>
        <v>2.3131143861310793E-2</v>
      </c>
      <c r="T50" s="80">
        <f t="shared" si="11"/>
        <v>7.4019660356194538E-3</v>
      </c>
      <c r="U50" s="81">
        <f t="shared" si="12"/>
        <v>2.3686291313982253E-3</v>
      </c>
      <c r="V50" s="27"/>
      <c r="W50" s="27"/>
      <c r="X50" s="27"/>
      <c r="Y50" s="82"/>
      <c r="Z50" s="83">
        <f t="shared" si="13"/>
        <v>5.0677253807981362E-4</v>
      </c>
      <c r="AA50" s="80">
        <f t="shared" si="15"/>
        <v>7.221188498143874E-2</v>
      </c>
      <c r="AB50" s="81">
        <f t="shared" si="14"/>
        <v>5.3201830829461516E-9</v>
      </c>
      <c r="AC50" s="27"/>
      <c r="AD50" s="27"/>
    </row>
    <row r="51" spans="1:30">
      <c r="A51" s="74">
        <f t="shared" si="0"/>
        <v>1</v>
      </c>
      <c r="B51" s="75">
        <v>18</v>
      </c>
      <c r="C51" s="127">
        <v>0.34</v>
      </c>
      <c r="D51" s="84">
        <v>7.6076624092137071E-2</v>
      </c>
      <c r="E51" s="124">
        <f t="shared" si="1"/>
        <v>0.11560000000000002</v>
      </c>
      <c r="F51" s="125">
        <f t="shared" si="2"/>
        <v>3.9304000000000013E-2</v>
      </c>
      <c r="G51" s="125">
        <f t="shared" si="3"/>
        <v>1.3363360000000005E-2</v>
      </c>
      <c r="H51" s="125">
        <f t="shared" si="4"/>
        <v>4.5435424000000021E-3</v>
      </c>
      <c r="I51" s="125">
        <f t="shared" si="5"/>
        <v>1.5448044160000008E-3</v>
      </c>
      <c r="J51" s="125">
        <f t="shared" si="6"/>
        <v>5.2523350144000037E-4</v>
      </c>
      <c r="K51" s="125">
        <f t="shared" si="7"/>
        <v>1.7857939048960013E-4</v>
      </c>
      <c r="L51" s="126">
        <f t="shared" si="8"/>
        <v>6.0716992766464047E-5</v>
      </c>
      <c r="M51" s="29"/>
      <c r="N51" s="29"/>
      <c r="O51" s="29"/>
      <c r="P51" s="30"/>
      <c r="Q51" s="27"/>
      <c r="R51" s="80">
        <f t="shared" si="9"/>
        <v>7.6076624092137071E-2</v>
      </c>
      <c r="S51" s="80">
        <f t="shared" si="10"/>
        <v>2.5866052191326604E-2</v>
      </c>
      <c r="T51" s="80">
        <f t="shared" si="11"/>
        <v>8.7944577450510472E-3</v>
      </c>
      <c r="U51" s="81">
        <f t="shared" si="12"/>
        <v>2.9901156333173562E-3</v>
      </c>
      <c r="V51" s="27"/>
      <c r="W51" s="27"/>
      <c r="X51" s="27"/>
      <c r="Y51" s="82"/>
      <c r="Z51" s="83">
        <f t="shared" si="13"/>
        <v>3.5043126535548564E-4</v>
      </c>
      <c r="AA51" s="80">
        <f t="shared" si="15"/>
        <v>7.5973404758311699E-2</v>
      </c>
      <c r="AB51" s="81">
        <f t="shared" si="14"/>
        <v>1.065423087535353E-8</v>
      </c>
      <c r="AC51" s="27"/>
      <c r="AD51" s="27"/>
    </row>
    <row r="52" spans="1:30">
      <c r="A52" s="74">
        <f t="shared" si="0"/>
        <v>1</v>
      </c>
      <c r="B52" s="75">
        <v>19</v>
      </c>
      <c r="C52" s="127">
        <v>0.36</v>
      </c>
      <c r="D52" s="84">
        <v>7.9776938416041721E-2</v>
      </c>
      <c r="E52" s="124">
        <f t="shared" si="1"/>
        <v>0.12959999999999999</v>
      </c>
      <c r="F52" s="125">
        <f t="shared" si="2"/>
        <v>4.6655999999999996E-2</v>
      </c>
      <c r="G52" s="125">
        <f t="shared" si="3"/>
        <v>1.6796159999999997E-2</v>
      </c>
      <c r="H52" s="125">
        <f t="shared" si="4"/>
        <v>6.0466175999999991E-3</v>
      </c>
      <c r="I52" s="125">
        <f t="shared" si="5"/>
        <v>2.1767823359999995E-3</v>
      </c>
      <c r="J52" s="125">
        <f t="shared" si="6"/>
        <v>7.8364164095999977E-4</v>
      </c>
      <c r="K52" s="125">
        <f t="shared" si="7"/>
        <v>2.8211099074559989E-4</v>
      </c>
      <c r="L52" s="126">
        <f t="shared" si="8"/>
        <v>1.0155995666841596E-4</v>
      </c>
      <c r="M52" s="29"/>
      <c r="N52" s="29"/>
      <c r="O52" s="29"/>
      <c r="P52" s="30"/>
      <c r="Q52" s="27"/>
      <c r="R52" s="80">
        <f t="shared" si="9"/>
        <v>7.9776938416041721E-2</v>
      </c>
      <c r="S52" s="80">
        <f t="shared" si="10"/>
        <v>2.8719697829775018E-2</v>
      </c>
      <c r="T52" s="80">
        <f t="shared" si="11"/>
        <v>1.0339091218719006E-2</v>
      </c>
      <c r="U52" s="81">
        <f t="shared" si="12"/>
        <v>3.7220728387388421E-3</v>
      </c>
      <c r="V52" s="27"/>
      <c r="W52" s="27"/>
      <c r="X52" s="27"/>
      <c r="Y52" s="82"/>
      <c r="Z52" s="83">
        <f t="shared" si="13"/>
        <v>2.2558523345060332E-4</v>
      </c>
      <c r="AA52" s="80">
        <f t="shared" si="15"/>
        <v>7.9649167915697788E-2</v>
      </c>
      <c r="AB52" s="81">
        <f t="shared" si="14"/>
        <v>1.6325300758138784E-8</v>
      </c>
      <c r="AC52" s="27"/>
      <c r="AD52" s="27"/>
    </row>
    <row r="53" spans="1:30">
      <c r="A53" s="74">
        <f t="shared" si="0"/>
        <v>1</v>
      </c>
      <c r="B53" s="75">
        <v>20</v>
      </c>
      <c r="C53" s="127">
        <v>0.38</v>
      </c>
      <c r="D53" s="84">
        <v>8.3386684202599065E-2</v>
      </c>
      <c r="E53" s="124">
        <f t="shared" si="1"/>
        <v>0.1444</v>
      </c>
      <c r="F53" s="125">
        <f t="shared" si="2"/>
        <v>5.4872000000000004E-2</v>
      </c>
      <c r="G53" s="125">
        <f t="shared" si="3"/>
        <v>2.0851359999999999E-2</v>
      </c>
      <c r="H53" s="125">
        <f t="shared" si="4"/>
        <v>7.9235168000000005E-3</v>
      </c>
      <c r="I53" s="125">
        <f t="shared" si="5"/>
        <v>3.0109363839999998E-3</v>
      </c>
      <c r="J53" s="125">
        <f t="shared" si="6"/>
        <v>1.1441558259200001E-3</v>
      </c>
      <c r="K53" s="125">
        <f t="shared" si="7"/>
        <v>4.3477921384959997E-4</v>
      </c>
      <c r="L53" s="126">
        <f t="shared" si="8"/>
        <v>1.65216101262848E-4</v>
      </c>
      <c r="M53" s="29"/>
      <c r="N53" s="29"/>
      <c r="O53" s="29"/>
      <c r="P53" s="30"/>
      <c r="Q53" s="27"/>
      <c r="R53" s="80">
        <f t="shared" si="9"/>
        <v>8.3386684202599065E-2</v>
      </c>
      <c r="S53" s="80">
        <f t="shared" si="10"/>
        <v>3.1686939996987643E-2</v>
      </c>
      <c r="T53" s="80">
        <f t="shared" si="11"/>
        <v>1.2041037198855305E-2</v>
      </c>
      <c r="U53" s="81">
        <f t="shared" si="12"/>
        <v>4.5755941355650163E-3</v>
      </c>
      <c r="V53" s="27"/>
      <c r="W53" s="27"/>
      <c r="X53" s="27"/>
      <c r="Y53" s="82"/>
      <c r="Z53" s="83">
        <f t="shared" si="13"/>
        <v>1.3018237969314927E-4</v>
      </c>
      <c r="AA53" s="80">
        <f t="shared" si="15"/>
        <v>8.324033487366661E-2</v>
      </c>
      <c r="AB53" s="81">
        <f t="shared" si="14"/>
        <v>2.1418126078979814E-8</v>
      </c>
      <c r="AC53" s="27"/>
      <c r="AD53" s="27"/>
    </row>
    <row r="54" spans="1:30">
      <c r="A54" s="74">
        <f t="shared" si="0"/>
        <v>1</v>
      </c>
      <c r="B54" s="75">
        <v>21</v>
      </c>
      <c r="C54" s="127">
        <v>0.4</v>
      </c>
      <c r="D54" s="84">
        <v>8.6906974958233407E-2</v>
      </c>
      <c r="E54" s="124">
        <f t="shared" si="1"/>
        <v>0.16000000000000003</v>
      </c>
      <c r="F54" s="125">
        <f t="shared" si="2"/>
        <v>6.4000000000000015E-2</v>
      </c>
      <c r="G54" s="125">
        <f t="shared" si="3"/>
        <v>2.5600000000000012E-2</v>
      </c>
      <c r="H54" s="125">
        <f t="shared" si="4"/>
        <v>1.0240000000000006E-2</v>
      </c>
      <c r="I54" s="125">
        <f t="shared" si="5"/>
        <v>4.0960000000000024E-3</v>
      </c>
      <c r="J54" s="125">
        <f t="shared" si="6"/>
        <v>1.6384000000000012E-3</v>
      </c>
      <c r="K54" s="125">
        <f t="shared" si="7"/>
        <v>6.5536000000000056E-4</v>
      </c>
      <c r="L54" s="126">
        <f t="shared" si="8"/>
        <v>2.6214400000000023E-4</v>
      </c>
      <c r="M54" s="29"/>
      <c r="N54" s="29"/>
      <c r="O54" s="29"/>
      <c r="P54" s="30"/>
      <c r="Q54" s="27"/>
      <c r="R54" s="80">
        <f t="shared" si="9"/>
        <v>8.6906974958233407E-2</v>
      </c>
      <c r="S54" s="80">
        <f t="shared" si="10"/>
        <v>3.4762789983293366E-2</v>
      </c>
      <c r="T54" s="80">
        <f t="shared" si="11"/>
        <v>1.3905115993317348E-2</v>
      </c>
      <c r="U54" s="81">
        <f t="shared" si="12"/>
        <v>5.5620463973269398E-3</v>
      </c>
      <c r="V54" s="27"/>
      <c r="W54" s="27"/>
      <c r="X54" s="27"/>
      <c r="Y54" s="82"/>
      <c r="Z54" s="83">
        <f t="shared" si="13"/>
        <v>6.2243556541116611E-5</v>
      </c>
      <c r="AA54" s="80">
        <f t="shared" si="15"/>
        <v>8.6748066052287742E-2</v>
      </c>
      <c r="AB54" s="81">
        <f t="shared" si="14"/>
        <v>2.5252040388848199E-8</v>
      </c>
      <c r="AC54" s="27"/>
      <c r="AD54" s="27"/>
    </row>
    <row r="55" spans="1:30">
      <c r="A55" s="74">
        <f t="shared" si="0"/>
        <v>1</v>
      </c>
      <c r="B55" s="75">
        <v>22</v>
      </c>
      <c r="C55" s="127">
        <v>0.42</v>
      </c>
      <c r="D55" s="84">
        <v>9.0339089727408173E-2</v>
      </c>
      <c r="E55" s="124">
        <f t="shared" si="1"/>
        <v>0.17639999999999997</v>
      </c>
      <c r="F55" s="125">
        <f t="shared" si="2"/>
        <v>7.4087999999999987E-2</v>
      </c>
      <c r="G55" s="125">
        <f t="shared" si="3"/>
        <v>3.1116959999999992E-2</v>
      </c>
      <c r="H55" s="125">
        <f t="shared" si="4"/>
        <v>1.3069123199999996E-2</v>
      </c>
      <c r="I55" s="125">
        <f t="shared" si="5"/>
        <v>5.489031743999998E-3</v>
      </c>
      <c r="J55" s="125">
        <f t="shared" si="6"/>
        <v>2.305393332479999E-3</v>
      </c>
      <c r="K55" s="125">
        <f t="shared" si="7"/>
        <v>9.6826519964159953E-4</v>
      </c>
      <c r="L55" s="126">
        <f t="shared" si="8"/>
        <v>4.0667138384947179E-4</v>
      </c>
      <c r="M55" s="29"/>
      <c r="N55" s="29"/>
      <c r="O55" s="29"/>
      <c r="P55" s="30"/>
      <c r="Q55" s="27"/>
      <c r="R55" s="80">
        <f t="shared" si="9"/>
        <v>9.0339089727408173E-2</v>
      </c>
      <c r="S55" s="80">
        <f t="shared" si="10"/>
        <v>3.7942417685511431E-2</v>
      </c>
      <c r="T55" s="80">
        <f t="shared" si="11"/>
        <v>1.59358154279148E-2</v>
      </c>
      <c r="U55" s="81">
        <f t="shared" si="12"/>
        <v>6.6930424797242158E-3</v>
      </c>
      <c r="V55" s="27"/>
      <c r="W55" s="27"/>
      <c r="X55" s="27"/>
      <c r="Y55" s="82"/>
      <c r="Z55" s="83">
        <f t="shared" si="13"/>
        <v>1.9867913766308951E-5</v>
      </c>
      <c r="AA55" s="80">
        <f t="shared" si="15"/>
        <v>9.017352187163076E-2</v>
      </c>
      <c r="AB55" s="81">
        <f t="shared" si="14"/>
        <v>2.7412714866730106E-8</v>
      </c>
      <c r="AC55" s="27"/>
      <c r="AD55" s="27"/>
    </row>
    <row r="56" spans="1:30">
      <c r="A56" s="74">
        <f t="shared" si="0"/>
        <v>1</v>
      </c>
      <c r="B56" s="75">
        <v>23</v>
      </c>
      <c r="C56" s="127">
        <v>0.44</v>
      </c>
      <c r="D56" s="84">
        <v>9.3684445442836661E-2</v>
      </c>
      <c r="E56" s="124">
        <f t="shared" si="1"/>
        <v>0.19359999999999999</v>
      </c>
      <c r="F56" s="125">
        <f t="shared" si="2"/>
        <v>8.5183999999999996E-2</v>
      </c>
      <c r="G56" s="125">
        <f t="shared" si="3"/>
        <v>3.7480960000000001E-2</v>
      </c>
      <c r="H56" s="125">
        <f t="shared" si="4"/>
        <v>1.6491622399999999E-2</v>
      </c>
      <c r="I56" s="125">
        <f t="shared" si="5"/>
        <v>7.2563138559999995E-3</v>
      </c>
      <c r="J56" s="125">
        <f t="shared" si="6"/>
        <v>3.1927780966400001E-3</v>
      </c>
      <c r="K56" s="125">
        <f t="shared" si="7"/>
        <v>1.4048223625216E-3</v>
      </c>
      <c r="L56" s="126">
        <f t="shared" si="8"/>
        <v>6.1812183950950403E-4</v>
      </c>
      <c r="M56" s="29"/>
      <c r="N56" s="29"/>
      <c r="O56" s="29"/>
      <c r="P56" s="30"/>
      <c r="Q56" s="27"/>
      <c r="R56" s="80">
        <f t="shared" si="9"/>
        <v>9.3684445442836661E-2</v>
      </c>
      <c r="S56" s="80">
        <f t="shared" si="10"/>
        <v>4.122115599484813E-2</v>
      </c>
      <c r="T56" s="80">
        <f t="shared" si="11"/>
        <v>1.8137308637733177E-2</v>
      </c>
      <c r="U56" s="81">
        <f t="shared" si="12"/>
        <v>7.9804158006025975E-3</v>
      </c>
      <c r="V56" s="27"/>
      <c r="W56" s="27"/>
      <c r="X56" s="27"/>
      <c r="Y56" s="82"/>
      <c r="Z56" s="83">
        <f t="shared" si="13"/>
        <v>1.2365175039487927E-6</v>
      </c>
      <c r="AA56" s="80">
        <f t="shared" si="15"/>
        <v>9.3517862751765254E-2</v>
      </c>
      <c r="AB56" s="81">
        <f t="shared" si="14"/>
        <v>2.7749792964591783E-8</v>
      </c>
      <c r="AC56" s="27"/>
      <c r="AD56" s="27"/>
    </row>
    <row r="57" spans="1:30">
      <c r="A57" s="74">
        <f t="shared" si="0"/>
        <v>1</v>
      </c>
      <c r="B57" s="75">
        <v>24</v>
      </c>
      <c r="C57" s="127">
        <v>0.46</v>
      </c>
      <c r="D57" s="84">
        <v>9.6944572530080597E-2</v>
      </c>
      <c r="E57" s="124">
        <f t="shared" si="1"/>
        <v>0.21160000000000001</v>
      </c>
      <c r="F57" s="125">
        <f t="shared" si="2"/>
        <v>9.7336000000000006E-2</v>
      </c>
      <c r="G57" s="125">
        <f t="shared" si="3"/>
        <v>4.4774560000000005E-2</v>
      </c>
      <c r="H57" s="125">
        <f t="shared" si="4"/>
        <v>2.0596297600000004E-2</v>
      </c>
      <c r="I57" s="125">
        <f t="shared" si="5"/>
        <v>9.4742968960000017E-3</v>
      </c>
      <c r="J57" s="125">
        <f t="shared" si="6"/>
        <v>4.3581765721600009E-3</v>
      </c>
      <c r="K57" s="125">
        <f t="shared" si="7"/>
        <v>2.0047612231936006E-3</v>
      </c>
      <c r="L57" s="126">
        <f t="shared" si="8"/>
        <v>9.2219016266905632E-4</v>
      </c>
      <c r="M57" s="29"/>
      <c r="N57" s="29"/>
      <c r="O57" s="29"/>
      <c r="P57" s="30"/>
      <c r="Q57" s="27"/>
      <c r="R57" s="80">
        <f t="shared" si="9"/>
        <v>9.6944572530080597E-2</v>
      </c>
      <c r="S57" s="80">
        <f t="shared" si="10"/>
        <v>4.4594503363837079E-2</v>
      </c>
      <c r="T57" s="80">
        <f t="shared" si="11"/>
        <v>2.0513471547365054E-2</v>
      </c>
      <c r="U57" s="81">
        <f t="shared" si="12"/>
        <v>9.4361969117879255E-3</v>
      </c>
      <c r="V57" s="27"/>
      <c r="W57" s="27"/>
      <c r="X57" s="27"/>
      <c r="Y57" s="82"/>
      <c r="Z57" s="83">
        <f t="shared" si="13"/>
        <v>4.6145011676166181E-6</v>
      </c>
      <c r="AA57" s="80">
        <f t="shared" si="15"/>
        <v>9.6782249112760829E-2</v>
      </c>
      <c r="AB57" s="81">
        <f t="shared" si="14"/>
        <v>2.6348891810367546E-8</v>
      </c>
      <c r="AC57" s="27"/>
      <c r="AD57" s="27"/>
    </row>
    <row r="58" spans="1:30">
      <c r="A58" s="74">
        <f t="shared" si="0"/>
        <v>1</v>
      </c>
      <c r="B58" s="75">
        <v>25</v>
      </c>
      <c r="C58" s="127">
        <v>0.48</v>
      </c>
      <c r="D58" s="84">
        <v>0.10012109341382185</v>
      </c>
      <c r="E58" s="124">
        <f t="shared" si="1"/>
        <v>0.23039999999999999</v>
      </c>
      <c r="F58" s="125">
        <f t="shared" si="2"/>
        <v>0.110592</v>
      </c>
      <c r="G58" s="125">
        <f t="shared" si="3"/>
        <v>5.3084159999999998E-2</v>
      </c>
      <c r="H58" s="125">
        <f t="shared" si="4"/>
        <v>2.5480396799999999E-2</v>
      </c>
      <c r="I58" s="125">
        <f t="shared" si="5"/>
        <v>1.2230590463999999E-2</v>
      </c>
      <c r="J58" s="125">
        <f t="shared" si="6"/>
        <v>5.8706834227199994E-3</v>
      </c>
      <c r="K58" s="125">
        <f t="shared" si="7"/>
        <v>2.8179280429056E-3</v>
      </c>
      <c r="L58" s="126">
        <f t="shared" si="8"/>
        <v>1.352605460594688E-3</v>
      </c>
      <c r="M58" s="29"/>
      <c r="N58" s="29"/>
      <c r="O58" s="29"/>
      <c r="P58" s="30"/>
      <c r="Q58" s="27"/>
      <c r="R58" s="80">
        <f t="shared" si="9"/>
        <v>0.10012109341382185</v>
      </c>
      <c r="S58" s="80">
        <f t="shared" si="10"/>
        <v>4.8058124838634482E-2</v>
      </c>
      <c r="T58" s="80">
        <f t="shared" si="11"/>
        <v>2.3067899922544554E-2</v>
      </c>
      <c r="U58" s="81">
        <f t="shared" si="12"/>
        <v>1.1072591962821385E-2</v>
      </c>
      <c r="V58" s="27"/>
      <c r="W58" s="27"/>
      <c r="X58" s="27"/>
      <c r="Y58" s="82"/>
      <c r="Z58" s="83">
        <f t="shared" si="13"/>
        <v>2.8352002888171055E-5</v>
      </c>
      <c r="AA58" s="80">
        <f t="shared" si="15"/>
        <v>9.9967841374687047E-2</v>
      </c>
      <c r="AB58" s="81">
        <f t="shared" si="14"/>
        <v>2.3486187498974003E-8</v>
      </c>
      <c r="AC58" s="27"/>
      <c r="AD58" s="27"/>
    </row>
    <row r="59" spans="1:30">
      <c r="A59" s="74">
        <f t="shared" si="0"/>
        <v>1</v>
      </c>
      <c r="B59" s="75">
        <v>26</v>
      </c>
      <c r="C59" s="127">
        <v>0.5</v>
      </c>
      <c r="D59" s="84">
        <v>0.10321570361283271</v>
      </c>
      <c r="E59" s="124">
        <f t="shared" si="1"/>
        <v>0.25</v>
      </c>
      <c r="F59" s="125">
        <f t="shared" si="2"/>
        <v>0.125</v>
      </c>
      <c r="G59" s="125">
        <f t="shared" si="3"/>
        <v>6.25E-2</v>
      </c>
      <c r="H59" s="125">
        <f t="shared" si="4"/>
        <v>3.125E-2</v>
      </c>
      <c r="I59" s="125">
        <f t="shared" si="5"/>
        <v>1.5625E-2</v>
      </c>
      <c r="J59" s="125">
        <f t="shared" si="6"/>
        <v>7.8125E-3</v>
      </c>
      <c r="K59" s="125">
        <f t="shared" si="7"/>
        <v>3.90625E-3</v>
      </c>
      <c r="L59" s="126">
        <f t="shared" si="8"/>
        <v>1.953125E-3</v>
      </c>
      <c r="M59" s="29"/>
      <c r="N59" s="29"/>
      <c r="O59" s="29"/>
      <c r="P59" s="30"/>
      <c r="Q59" s="27"/>
      <c r="R59" s="80">
        <f t="shared" si="9"/>
        <v>0.10321570361283271</v>
      </c>
      <c r="S59" s="80">
        <f t="shared" si="10"/>
        <v>5.1607851806416354E-2</v>
      </c>
      <c r="T59" s="80">
        <f t="shared" si="11"/>
        <v>2.5803925903208177E-2</v>
      </c>
      <c r="U59" s="81">
        <f t="shared" si="12"/>
        <v>1.2901962951604088E-2</v>
      </c>
      <c r="V59" s="27"/>
      <c r="W59" s="27"/>
      <c r="X59" s="27"/>
      <c r="Y59" s="82"/>
      <c r="Z59" s="83">
        <f t="shared" si="13"/>
        <v>7.088410874316067E-5</v>
      </c>
      <c r="AA59" s="80">
        <f t="shared" si="15"/>
        <v>0.10307579995761351</v>
      </c>
      <c r="AB59" s="81">
        <f t="shared" si="14"/>
        <v>1.9573032743691423E-8</v>
      </c>
      <c r="AC59" s="27"/>
      <c r="AD59" s="27"/>
    </row>
    <row r="60" spans="1:30">
      <c r="A60" s="74">
        <f t="shared" si="0"/>
        <v>1</v>
      </c>
      <c r="B60" s="75">
        <v>27</v>
      </c>
      <c r="C60" s="127">
        <v>0.52</v>
      </c>
      <c r="D60" s="84">
        <v>0.10623015514474676</v>
      </c>
      <c r="E60" s="124">
        <f t="shared" si="1"/>
        <v>0.27040000000000003</v>
      </c>
      <c r="F60" s="125">
        <f t="shared" si="2"/>
        <v>0.14060800000000001</v>
      </c>
      <c r="G60" s="125">
        <f t="shared" si="3"/>
        <v>7.3116160000000013E-2</v>
      </c>
      <c r="H60" s="125">
        <f t="shared" si="4"/>
        <v>3.8020403200000011E-2</v>
      </c>
      <c r="I60" s="125">
        <f t="shared" si="5"/>
        <v>1.9770609664000006E-2</v>
      </c>
      <c r="J60" s="125">
        <f t="shared" si="6"/>
        <v>1.0280717025280002E-2</v>
      </c>
      <c r="K60" s="125">
        <f t="shared" si="7"/>
        <v>5.345972853145602E-3</v>
      </c>
      <c r="L60" s="126">
        <f t="shared" si="8"/>
        <v>2.7799058836357133E-3</v>
      </c>
      <c r="M60" s="29"/>
      <c r="N60" s="29"/>
      <c r="O60" s="29"/>
      <c r="P60" s="30"/>
      <c r="Q60" s="27"/>
      <c r="R60" s="80">
        <f t="shared" si="9"/>
        <v>0.10623015514474676</v>
      </c>
      <c r="S60" s="80">
        <f t="shared" si="10"/>
        <v>5.523968067526832E-2</v>
      </c>
      <c r="T60" s="80">
        <f t="shared" si="11"/>
        <v>2.8724633951139528E-2</v>
      </c>
      <c r="U60" s="81">
        <f t="shared" si="12"/>
        <v>1.4936809654592554E-2</v>
      </c>
      <c r="V60" s="27"/>
      <c r="W60" s="27"/>
      <c r="X60" s="27"/>
      <c r="Y60" s="82"/>
      <c r="Z60" s="83">
        <f t="shared" si="13"/>
        <v>1.307299899845482E-4</v>
      </c>
      <c r="AA60" s="80">
        <f t="shared" si="15"/>
        <v>0.1061072852816098</v>
      </c>
      <c r="AB60" s="81">
        <f t="shared" si="14"/>
        <v>1.5097003267295862E-8</v>
      </c>
      <c r="AC60" s="27"/>
      <c r="AD60" s="27"/>
    </row>
    <row r="61" spans="1:30">
      <c r="A61" s="74">
        <f t="shared" si="0"/>
        <v>1</v>
      </c>
      <c r="B61" s="75">
        <v>28</v>
      </c>
      <c r="C61" s="127">
        <v>0.54</v>
      </c>
      <c r="D61" s="84">
        <v>0.10916624199137413</v>
      </c>
      <c r="E61" s="124">
        <f t="shared" si="1"/>
        <v>0.29160000000000003</v>
      </c>
      <c r="F61" s="125">
        <f t="shared" si="2"/>
        <v>0.15746400000000002</v>
      </c>
      <c r="G61" s="125">
        <f t="shared" si="3"/>
        <v>8.5030560000000019E-2</v>
      </c>
      <c r="H61" s="125">
        <f t="shared" si="4"/>
        <v>4.591650240000001E-2</v>
      </c>
      <c r="I61" s="125">
        <f t="shared" si="5"/>
        <v>2.4794911296000009E-2</v>
      </c>
      <c r="J61" s="125">
        <f t="shared" si="6"/>
        <v>1.3389252099840005E-2</v>
      </c>
      <c r="K61" s="125">
        <f t="shared" si="7"/>
        <v>7.2301961339136028E-3</v>
      </c>
      <c r="L61" s="126">
        <f t="shared" si="8"/>
        <v>3.9043059123133458E-3</v>
      </c>
      <c r="M61" s="29"/>
      <c r="N61" s="29"/>
      <c r="O61" s="29"/>
      <c r="P61" s="30"/>
      <c r="Q61" s="27"/>
      <c r="R61" s="80">
        <f t="shared" si="9"/>
        <v>0.10916624199137413</v>
      </c>
      <c r="S61" s="80">
        <f t="shared" si="10"/>
        <v>5.8949770675342038E-2</v>
      </c>
      <c r="T61" s="80">
        <f t="shared" si="11"/>
        <v>3.1832876164684699E-2</v>
      </c>
      <c r="U61" s="81">
        <f t="shared" si="12"/>
        <v>1.7189753128929737E-2</v>
      </c>
      <c r="V61" s="27"/>
      <c r="W61" s="27"/>
      <c r="X61" s="27"/>
      <c r="Y61" s="82"/>
      <c r="Z61" s="83">
        <f t="shared" si="13"/>
        <v>2.0649139524299848E-4</v>
      </c>
      <c r="AA61" s="80">
        <f t="shared" si="15"/>
        <v>0.10906345776674553</v>
      </c>
      <c r="AB61" s="81">
        <f t="shared" si="14"/>
        <v>1.0564596832502922E-8</v>
      </c>
      <c r="AC61" s="27"/>
      <c r="AD61" s="27"/>
    </row>
    <row r="62" spans="1:30">
      <c r="A62" s="74">
        <f t="shared" si="0"/>
        <v>1</v>
      </c>
      <c r="B62" s="75">
        <v>29</v>
      </c>
      <c r="C62" s="127">
        <v>0.56000000000000005</v>
      </c>
      <c r="D62" s="84">
        <v>0.11202578740136855</v>
      </c>
      <c r="E62" s="124">
        <f t="shared" si="1"/>
        <v>0.31360000000000005</v>
      </c>
      <c r="F62" s="125">
        <f t="shared" si="2"/>
        <v>0.17561600000000005</v>
      </c>
      <c r="G62" s="125">
        <f t="shared" si="3"/>
        <v>9.8344960000000023E-2</v>
      </c>
      <c r="H62" s="125">
        <f t="shared" si="4"/>
        <v>5.5073177600000016E-2</v>
      </c>
      <c r="I62" s="125">
        <f t="shared" si="5"/>
        <v>3.0840979456000013E-2</v>
      </c>
      <c r="J62" s="125">
        <f t="shared" si="6"/>
        <v>1.7270948495360008E-2</v>
      </c>
      <c r="K62" s="125">
        <f t="shared" si="7"/>
        <v>9.671731157401605E-3</v>
      </c>
      <c r="L62" s="126">
        <f t="shared" si="8"/>
        <v>5.416169448144899E-3</v>
      </c>
      <c r="M62" s="29"/>
      <c r="N62" s="29"/>
      <c r="O62" s="29"/>
      <c r="P62" s="30"/>
      <c r="Q62" s="27"/>
      <c r="R62" s="80">
        <f t="shared" si="9"/>
        <v>0.11202578740136855</v>
      </c>
      <c r="S62" s="80">
        <f t="shared" si="10"/>
        <v>6.2734440944766393E-2</v>
      </c>
      <c r="T62" s="80">
        <f t="shared" si="11"/>
        <v>3.513128692906918E-2</v>
      </c>
      <c r="U62" s="81">
        <f t="shared" si="12"/>
        <v>1.9673520680278746E-2</v>
      </c>
      <c r="V62" s="27"/>
      <c r="W62" s="27"/>
      <c r="X62" s="27"/>
      <c r="Y62" s="82"/>
      <c r="Z62" s="83">
        <f t="shared" si="13"/>
        <v>2.9685063485651863E-4</v>
      </c>
      <c r="AA62" s="80">
        <f t="shared" si="15"/>
        <v>0.1119454778330902</v>
      </c>
      <c r="AB62" s="81">
        <f t="shared" si="14"/>
        <v>6.4496267570558531E-9</v>
      </c>
      <c r="AC62" s="27"/>
      <c r="AD62" s="27"/>
    </row>
    <row r="63" spans="1:30">
      <c r="A63" s="74">
        <f t="shared" si="0"/>
        <v>1</v>
      </c>
      <c r="B63" s="75">
        <v>30</v>
      </c>
      <c r="C63" s="127">
        <v>0.57999999999999996</v>
      </c>
      <c r="D63" s="84">
        <v>0.11481063283016341</v>
      </c>
      <c r="E63" s="124">
        <f t="shared" si="1"/>
        <v>0.33639999999999998</v>
      </c>
      <c r="F63" s="125">
        <f t="shared" si="2"/>
        <v>0.19511199999999998</v>
      </c>
      <c r="G63" s="125">
        <f t="shared" si="3"/>
        <v>0.11316495999999998</v>
      </c>
      <c r="H63" s="125">
        <f t="shared" si="4"/>
        <v>6.5635676799999987E-2</v>
      </c>
      <c r="I63" s="125">
        <f t="shared" si="5"/>
        <v>3.8068692543999992E-2</v>
      </c>
      <c r="J63" s="125">
        <f t="shared" si="6"/>
        <v>2.2079841675519993E-2</v>
      </c>
      <c r="K63" s="125">
        <f t="shared" si="7"/>
        <v>1.2806308171801596E-2</v>
      </c>
      <c r="L63" s="126">
        <f t="shared" si="8"/>
        <v>7.4276587396449253E-3</v>
      </c>
      <c r="M63" s="29"/>
      <c r="N63" s="29"/>
      <c r="O63" s="29"/>
      <c r="P63" s="30"/>
      <c r="Q63" s="27"/>
      <c r="R63" s="80">
        <f t="shared" si="9"/>
        <v>0.11481063283016341</v>
      </c>
      <c r="S63" s="80">
        <f t="shared" si="10"/>
        <v>6.6590167041494772E-2</v>
      </c>
      <c r="T63" s="80">
        <f t="shared" si="11"/>
        <v>3.8622296884066966E-2</v>
      </c>
      <c r="U63" s="81">
        <f t="shared" si="12"/>
        <v>2.2400932192758839E-2</v>
      </c>
      <c r="V63" s="27"/>
      <c r="W63" s="27"/>
      <c r="X63" s="27"/>
      <c r="Y63" s="82"/>
      <c r="Z63" s="83">
        <f t="shared" si="13"/>
        <v>4.0056817366345744E-4</v>
      </c>
      <c r="AA63" s="80">
        <f t="shared" si="15"/>
        <v>0.11475450590071348</v>
      </c>
      <c r="AB63" s="81">
        <f t="shared" si="14"/>
        <v>3.150232209476675E-9</v>
      </c>
      <c r="AC63" s="27"/>
      <c r="AD63" s="27"/>
    </row>
    <row r="64" spans="1:30">
      <c r="A64" s="74">
        <f t="shared" si="0"/>
        <v>1</v>
      </c>
      <c r="B64" s="75">
        <v>31</v>
      </c>
      <c r="C64" s="127">
        <v>0.6</v>
      </c>
      <c r="D64" s="84">
        <v>0.11752262833769907</v>
      </c>
      <c r="E64" s="124">
        <f t="shared" si="1"/>
        <v>0.36</v>
      </c>
      <c r="F64" s="125">
        <f t="shared" si="2"/>
        <v>0.216</v>
      </c>
      <c r="G64" s="125">
        <f t="shared" si="3"/>
        <v>0.12959999999999999</v>
      </c>
      <c r="H64" s="125">
        <f t="shared" si="4"/>
        <v>7.7759999999999996E-2</v>
      </c>
      <c r="I64" s="125">
        <f t="shared" si="5"/>
        <v>4.6655999999999996E-2</v>
      </c>
      <c r="J64" s="125">
        <f t="shared" si="6"/>
        <v>2.7993599999999997E-2</v>
      </c>
      <c r="K64" s="125">
        <f t="shared" si="7"/>
        <v>1.6796159999999997E-2</v>
      </c>
      <c r="L64" s="126">
        <f t="shared" si="8"/>
        <v>1.0077695999999999E-2</v>
      </c>
      <c r="M64" s="29"/>
      <c r="N64" s="29"/>
      <c r="O64" s="29"/>
      <c r="P64" s="30"/>
      <c r="Q64" s="27"/>
      <c r="R64" s="80">
        <f t="shared" si="9"/>
        <v>0.11752262833769907</v>
      </c>
      <c r="S64" s="80">
        <f t="shared" si="10"/>
        <v>7.051357700261944E-2</v>
      </c>
      <c r="T64" s="80">
        <f t="shared" si="11"/>
        <v>4.230814620157166E-2</v>
      </c>
      <c r="U64" s="81">
        <f t="shared" si="12"/>
        <v>2.5384887720942998E-2</v>
      </c>
      <c r="V64" s="27"/>
      <c r="W64" s="27"/>
      <c r="X64" s="27"/>
      <c r="Y64" s="82"/>
      <c r="Z64" s="83">
        <f t="shared" si="13"/>
        <v>5.1647993047927016E-4</v>
      </c>
      <c r="AA64" s="80">
        <f t="shared" si="15"/>
        <v>0.11749170238968495</v>
      </c>
      <c r="AB64" s="81">
        <f t="shared" si="14"/>
        <v>9.564142605716041E-10</v>
      </c>
      <c r="AC64" s="27"/>
      <c r="AD64" s="27"/>
    </row>
    <row r="65" spans="1:30">
      <c r="A65" s="74">
        <f t="shared" si="0"/>
        <v>1</v>
      </c>
      <c r="B65" s="75">
        <v>32</v>
      </c>
      <c r="C65" s="127">
        <v>0.62</v>
      </c>
      <c r="D65" s="84">
        <v>0.12016362428291577</v>
      </c>
      <c r="E65" s="124">
        <f t="shared" si="1"/>
        <v>0.38440000000000002</v>
      </c>
      <c r="F65" s="125">
        <f t="shared" si="2"/>
        <v>0.23832800000000001</v>
      </c>
      <c r="G65" s="125">
        <f t="shared" si="3"/>
        <v>0.14776336000000001</v>
      </c>
      <c r="H65" s="125">
        <f t="shared" si="4"/>
        <v>9.1613283200000006E-2</v>
      </c>
      <c r="I65" s="125">
        <f t="shared" si="5"/>
        <v>5.6800235584000006E-2</v>
      </c>
      <c r="J65" s="125">
        <f t="shared" si="6"/>
        <v>3.5216146062080005E-2</v>
      </c>
      <c r="K65" s="125">
        <f t="shared" si="7"/>
        <v>2.1834010558489603E-2</v>
      </c>
      <c r="L65" s="126">
        <f t="shared" si="8"/>
        <v>1.3537086546263554E-2</v>
      </c>
      <c r="M65" s="29"/>
      <c r="N65" s="29"/>
      <c r="O65" s="29"/>
      <c r="P65" s="30"/>
      <c r="Q65" s="27"/>
      <c r="R65" s="80">
        <f t="shared" si="9"/>
        <v>0.12016362428291577</v>
      </c>
      <c r="S65" s="80">
        <f t="shared" si="10"/>
        <v>7.4501447055407774E-2</v>
      </c>
      <c r="T65" s="80">
        <f t="shared" si="11"/>
        <v>4.6190897174352825E-2</v>
      </c>
      <c r="U65" s="81">
        <f t="shared" si="12"/>
        <v>2.863835624809875E-2</v>
      </c>
      <c r="V65" s="27"/>
      <c r="W65" s="27"/>
      <c r="X65" s="27"/>
      <c r="Y65" s="82"/>
      <c r="Z65" s="83">
        <f t="shared" si="13"/>
        <v>6.4349436674145295E-4</v>
      </c>
      <c r="AA65" s="80">
        <f t="shared" si="15"/>
        <v>0.12015822772007419</v>
      </c>
      <c r="AB65" s="81">
        <f t="shared" si="14"/>
        <v>2.9122890503161184E-11</v>
      </c>
      <c r="AC65" s="27"/>
      <c r="AD65" s="27"/>
    </row>
    <row r="66" spans="1:30">
      <c r="A66" s="74">
        <f t="shared" si="0"/>
        <v>1</v>
      </c>
      <c r="B66" s="75">
        <v>33</v>
      </c>
      <c r="C66" s="127">
        <v>0.64</v>
      </c>
      <c r="D66" s="84">
        <v>0.12273546417055663</v>
      </c>
      <c r="E66" s="124">
        <f t="shared" si="1"/>
        <v>0.40960000000000002</v>
      </c>
      <c r="F66" s="125">
        <f t="shared" si="2"/>
        <v>0.26214400000000004</v>
      </c>
      <c r="G66" s="125">
        <f t="shared" si="3"/>
        <v>0.16777216</v>
      </c>
      <c r="H66" s="125">
        <f t="shared" si="4"/>
        <v>0.1073741824</v>
      </c>
      <c r="I66" s="125">
        <f t="shared" si="5"/>
        <v>6.8719476735999999E-2</v>
      </c>
      <c r="J66" s="125">
        <f t="shared" si="6"/>
        <v>4.3980465111040007E-2</v>
      </c>
      <c r="K66" s="125">
        <f t="shared" si="7"/>
        <v>2.8147497671065603E-2</v>
      </c>
      <c r="L66" s="126">
        <f t="shared" si="8"/>
        <v>1.8014398509481985E-2</v>
      </c>
      <c r="M66" s="29"/>
      <c r="N66" s="29"/>
      <c r="O66" s="29"/>
      <c r="P66" s="30"/>
      <c r="Q66" s="27"/>
      <c r="R66" s="80">
        <f t="shared" si="9"/>
        <v>0.12273546417055663</v>
      </c>
      <c r="S66" s="80">
        <f t="shared" si="10"/>
        <v>7.8550697069156239E-2</v>
      </c>
      <c r="T66" s="80">
        <f t="shared" si="11"/>
        <v>5.0272446124259997E-2</v>
      </c>
      <c r="U66" s="81">
        <f t="shared" si="12"/>
        <v>3.2174365519526404E-2</v>
      </c>
      <c r="V66" s="27"/>
      <c r="W66" s="27"/>
      <c r="X66" s="27"/>
      <c r="Y66" s="82"/>
      <c r="Z66" s="83">
        <f t="shared" si="13"/>
        <v>7.8058943318532793E-4</v>
      </c>
      <c r="AA66" s="80">
        <f t="shared" si="15"/>
        <v>0.12275524231195076</v>
      </c>
      <c r="AB66" s="81">
        <f t="shared" si="14"/>
        <v>3.9117487700622184E-10</v>
      </c>
      <c r="AC66" s="27"/>
      <c r="AD66" s="27"/>
    </row>
    <row r="67" spans="1:30">
      <c r="A67" s="74">
        <f t="shared" si="0"/>
        <v>1</v>
      </c>
      <c r="B67" s="75">
        <v>34</v>
      </c>
      <c r="C67" s="127">
        <v>0.66</v>
      </c>
      <c r="D67" s="84">
        <v>0.12523997852073007</v>
      </c>
      <c r="E67" s="124">
        <f t="shared" si="1"/>
        <v>0.43560000000000004</v>
      </c>
      <c r="F67" s="125">
        <f t="shared" si="2"/>
        <v>0.28749600000000003</v>
      </c>
      <c r="G67" s="125">
        <f t="shared" si="3"/>
        <v>0.18974736000000003</v>
      </c>
      <c r="H67" s="125">
        <f t="shared" si="4"/>
        <v>0.12523325760000004</v>
      </c>
      <c r="I67" s="125">
        <f t="shared" si="5"/>
        <v>8.2653950016000025E-2</v>
      </c>
      <c r="J67" s="125">
        <f t="shared" si="6"/>
        <v>5.4551607010560013E-2</v>
      </c>
      <c r="K67" s="125">
        <f t="shared" si="7"/>
        <v>3.6004060626969613E-2</v>
      </c>
      <c r="L67" s="126">
        <f t="shared" si="8"/>
        <v>2.3762680013799945E-2</v>
      </c>
      <c r="M67" s="29"/>
      <c r="N67" s="29"/>
      <c r="O67" s="29"/>
      <c r="P67" s="30"/>
      <c r="Q67" s="27"/>
      <c r="R67" s="80">
        <f t="shared" si="9"/>
        <v>0.12523997852073007</v>
      </c>
      <c r="S67" s="80">
        <f t="shared" si="10"/>
        <v>8.2658385823681846E-2</v>
      </c>
      <c r="T67" s="80">
        <f t="shared" si="11"/>
        <v>5.4554534643630026E-2</v>
      </c>
      <c r="U67" s="81">
        <f t="shared" si="12"/>
        <v>3.6005992864795819E-2</v>
      </c>
      <c r="V67" s="27"/>
      <c r="W67" s="27"/>
      <c r="X67" s="27"/>
      <c r="Y67" s="82"/>
      <c r="Z67" s="83">
        <f t="shared" si="13"/>
        <v>9.2680943165857651E-4</v>
      </c>
      <c r="AA67" s="80">
        <f t="shared" si="15"/>
        <v>0.12528390658538424</v>
      </c>
      <c r="AB67" s="81">
        <f t="shared" si="14"/>
        <v>1.9296748642608993E-9</v>
      </c>
      <c r="AC67" s="27"/>
      <c r="AD67" s="27"/>
    </row>
    <row r="68" spans="1:30">
      <c r="A68" s="74">
        <f t="shared" si="0"/>
        <v>1</v>
      </c>
      <c r="B68" s="75">
        <v>35</v>
      </c>
      <c r="C68" s="127">
        <v>0.68</v>
      </c>
      <c r="D68" s="84">
        <v>0.12767897964510477</v>
      </c>
      <c r="E68" s="124">
        <f t="shared" si="1"/>
        <v>0.46240000000000009</v>
      </c>
      <c r="F68" s="125">
        <f t="shared" si="2"/>
        <v>0.3144320000000001</v>
      </c>
      <c r="G68" s="125">
        <f t="shared" si="3"/>
        <v>0.21381376000000007</v>
      </c>
      <c r="H68" s="125">
        <f t="shared" si="4"/>
        <v>0.14539335680000007</v>
      </c>
      <c r="I68" s="125">
        <f t="shared" si="5"/>
        <v>9.8867482624000053E-2</v>
      </c>
      <c r="J68" s="125">
        <f t="shared" si="6"/>
        <v>6.7229888184320047E-2</v>
      </c>
      <c r="K68" s="125">
        <f t="shared" si="7"/>
        <v>4.5716323965337632E-2</v>
      </c>
      <c r="L68" s="126">
        <f t="shared" si="8"/>
        <v>3.1087100296429592E-2</v>
      </c>
      <c r="M68" s="29"/>
      <c r="N68" s="29"/>
      <c r="O68" s="29"/>
      <c r="P68" s="30"/>
      <c r="Q68" s="27"/>
      <c r="R68" s="80">
        <f t="shared" si="9"/>
        <v>0.12767897964510477</v>
      </c>
      <c r="S68" s="80">
        <f t="shared" si="10"/>
        <v>8.6821706158671255E-2</v>
      </c>
      <c r="T68" s="80">
        <f t="shared" si="11"/>
        <v>5.9038760187896458E-2</v>
      </c>
      <c r="U68" s="81">
        <f t="shared" si="12"/>
        <v>4.0146356927769598E-2</v>
      </c>
      <c r="V68" s="27"/>
      <c r="W68" s="27"/>
      <c r="X68" s="27"/>
      <c r="Y68" s="82"/>
      <c r="Z68" s="83">
        <f t="shared" si="13"/>
        <v>1.0812618390724465E-3</v>
      </c>
      <c r="AA68" s="80">
        <f t="shared" si="15"/>
        <v>0.12774538096044427</v>
      </c>
      <c r="AB68" s="81">
        <f t="shared" si="14"/>
        <v>4.4091346788154817E-9</v>
      </c>
      <c r="AC68" s="27"/>
      <c r="AD68" s="27"/>
    </row>
    <row r="69" spans="1:30">
      <c r="A69" s="74">
        <f t="shared" si="0"/>
        <v>1</v>
      </c>
      <c r="B69" s="75">
        <v>36</v>
      </c>
      <c r="C69" s="127">
        <v>0.7</v>
      </c>
      <c r="D69" s="84">
        <v>0.13005425722570385</v>
      </c>
      <c r="E69" s="124">
        <f t="shared" si="1"/>
        <v>0.48999999999999994</v>
      </c>
      <c r="F69" s="125">
        <f t="shared" si="2"/>
        <v>0.34299999999999992</v>
      </c>
      <c r="G69" s="125">
        <f t="shared" si="3"/>
        <v>0.24009999999999992</v>
      </c>
      <c r="H69" s="125">
        <f t="shared" si="4"/>
        <v>0.16806999999999994</v>
      </c>
      <c r="I69" s="125">
        <f t="shared" si="5"/>
        <v>0.11764899999999995</v>
      </c>
      <c r="J69" s="125">
        <f t="shared" si="6"/>
        <v>8.235429999999995E-2</v>
      </c>
      <c r="K69" s="125">
        <f t="shared" si="7"/>
        <v>5.7648009999999965E-2</v>
      </c>
      <c r="L69" s="126">
        <f t="shared" si="8"/>
        <v>4.0353606999999972E-2</v>
      </c>
      <c r="M69" s="29"/>
      <c r="N69" s="29"/>
      <c r="O69" s="29"/>
      <c r="P69" s="30"/>
      <c r="Q69" s="27"/>
      <c r="R69" s="80">
        <f t="shared" si="9"/>
        <v>0.13005425722570385</v>
      </c>
      <c r="S69" s="80">
        <f t="shared" si="10"/>
        <v>9.1037980057992685E-2</v>
      </c>
      <c r="T69" s="80">
        <f t="shared" si="11"/>
        <v>6.3726586040594876E-2</v>
      </c>
      <c r="U69" s="81">
        <f t="shared" si="12"/>
        <v>4.4608610228416411E-2</v>
      </c>
      <c r="V69" s="27"/>
      <c r="W69" s="27"/>
      <c r="X69" s="27"/>
      <c r="Y69" s="82"/>
      <c r="Z69" s="83">
        <f t="shared" si="13"/>
        <v>1.2431141318221574E-3</v>
      </c>
      <c r="AA69" s="80">
        <f t="shared" si="15"/>
        <v>0.13014082585720041</v>
      </c>
      <c r="AB69" s="81">
        <f t="shared" si="14"/>
        <v>7.4941279591869535E-9</v>
      </c>
      <c r="AC69" s="27"/>
      <c r="AD69" s="27"/>
    </row>
    <row r="70" spans="1:30">
      <c r="A70" s="74">
        <f t="shared" si="0"/>
        <v>1</v>
      </c>
      <c r="B70" s="75">
        <v>37</v>
      </c>
      <c r="C70" s="127">
        <v>0.72</v>
      </c>
      <c r="D70" s="84">
        <v>0.13236757460316484</v>
      </c>
      <c r="E70" s="124">
        <f t="shared" si="1"/>
        <v>0.51839999999999997</v>
      </c>
      <c r="F70" s="125">
        <f t="shared" si="2"/>
        <v>0.37324799999999997</v>
      </c>
      <c r="G70" s="125">
        <f t="shared" si="3"/>
        <v>0.26873855999999996</v>
      </c>
      <c r="H70" s="125">
        <f t="shared" si="4"/>
        <v>0.19349176319999997</v>
      </c>
      <c r="I70" s="125">
        <f t="shared" si="5"/>
        <v>0.13931406950399997</v>
      </c>
      <c r="J70" s="125">
        <f t="shared" si="6"/>
        <v>0.10030613004287997</v>
      </c>
      <c r="K70" s="125">
        <f t="shared" si="7"/>
        <v>7.2220413630873573E-2</v>
      </c>
      <c r="L70" s="126">
        <f t="shared" si="8"/>
        <v>5.1998697814228972E-2</v>
      </c>
      <c r="M70" s="29"/>
      <c r="N70" s="29"/>
      <c r="O70" s="29"/>
      <c r="P70" s="30"/>
      <c r="Q70" s="27"/>
      <c r="R70" s="80">
        <f t="shared" si="9"/>
        <v>0.13236757460316484</v>
      </c>
      <c r="S70" s="80">
        <f t="shared" si="10"/>
        <v>9.5304653714278681E-2</v>
      </c>
      <c r="T70" s="80">
        <f t="shared" si="11"/>
        <v>6.8619350674280655E-2</v>
      </c>
      <c r="U70" s="81">
        <f t="shared" si="12"/>
        <v>4.9405932485482064E-2</v>
      </c>
      <c r="V70" s="27"/>
      <c r="W70" s="27"/>
      <c r="X70" s="27"/>
      <c r="Y70" s="82"/>
      <c r="Z70" s="83">
        <f t="shared" si="13"/>
        <v>1.4115906416087285E-3</v>
      </c>
      <c r="AA70" s="80">
        <f t="shared" si="15"/>
        <v>0.13247140169572222</v>
      </c>
      <c r="AB70" s="81">
        <f t="shared" si="14"/>
        <v>1.0780065148918588E-8</v>
      </c>
      <c r="AC70" s="27"/>
      <c r="AD70" s="27"/>
    </row>
    <row r="71" spans="1:30">
      <c r="A71" s="74">
        <f t="shared" si="0"/>
        <v>1</v>
      </c>
      <c r="B71" s="75">
        <v>38</v>
      </c>
      <c r="C71" s="127">
        <v>0.74</v>
      </c>
      <c r="D71" s="84">
        <v>0.13462066569114939</v>
      </c>
      <c r="E71" s="124">
        <f t="shared" si="1"/>
        <v>0.54759999999999998</v>
      </c>
      <c r="F71" s="125">
        <f t="shared" si="2"/>
        <v>0.40522399999999997</v>
      </c>
      <c r="G71" s="125">
        <f t="shared" si="3"/>
        <v>0.29986575999999998</v>
      </c>
      <c r="H71" s="125">
        <f t="shared" si="4"/>
        <v>0.22190066239999998</v>
      </c>
      <c r="I71" s="125">
        <f t="shared" si="5"/>
        <v>0.16420649017599998</v>
      </c>
      <c r="J71" s="125">
        <f t="shared" si="6"/>
        <v>0.12151280273023998</v>
      </c>
      <c r="K71" s="125">
        <f t="shared" si="7"/>
        <v>8.9919474020377588E-2</v>
      </c>
      <c r="L71" s="126">
        <f t="shared" si="8"/>
        <v>6.6540410775079412E-2</v>
      </c>
      <c r="M71" s="29"/>
      <c r="N71" s="29"/>
      <c r="O71" s="29"/>
      <c r="P71" s="30"/>
      <c r="Q71" s="27"/>
      <c r="R71" s="80">
        <f t="shared" si="9"/>
        <v>0.13462066569114939</v>
      </c>
      <c r="S71" s="80">
        <f t="shared" si="10"/>
        <v>9.9619292611450541E-2</v>
      </c>
      <c r="T71" s="80">
        <f t="shared" si="11"/>
        <v>7.3718276532473398E-2</v>
      </c>
      <c r="U71" s="81">
        <f t="shared" si="12"/>
        <v>5.4551524634030318E-2</v>
      </c>
      <c r="V71" s="27"/>
      <c r="W71" s="27"/>
      <c r="X71" s="27"/>
      <c r="Y71" s="82"/>
      <c r="Z71" s="83">
        <f t="shared" si="13"/>
        <v>1.585969467298342E-3</v>
      </c>
      <c r="AA71" s="80">
        <f t="shared" si="15"/>
        <v>0.13473826889607932</v>
      </c>
      <c r="AB71" s="81">
        <f t="shared" si="14"/>
        <v>1.3830513809790651E-8</v>
      </c>
      <c r="AC71" s="27"/>
      <c r="AD71" s="27"/>
    </row>
    <row r="72" spans="1:30">
      <c r="A72" s="74">
        <f t="shared" si="0"/>
        <v>1</v>
      </c>
      <c r="B72" s="75">
        <v>39</v>
      </c>
      <c r="C72" s="127">
        <v>0.76</v>
      </c>
      <c r="D72" s="84">
        <v>0.13681523244243027</v>
      </c>
      <c r="E72" s="124">
        <f t="shared" si="1"/>
        <v>0.5776</v>
      </c>
      <c r="F72" s="125">
        <f t="shared" si="2"/>
        <v>0.43897600000000003</v>
      </c>
      <c r="G72" s="125">
        <f t="shared" si="3"/>
        <v>0.33362175999999999</v>
      </c>
      <c r="H72" s="125">
        <f t="shared" si="4"/>
        <v>0.25355253760000002</v>
      </c>
      <c r="I72" s="125">
        <f t="shared" si="5"/>
        <v>0.19269992857599999</v>
      </c>
      <c r="J72" s="125">
        <f t="shared" si="6"/>
        <v>0.14645194571776002</v>
      </c>
      <c r="K72" s="125">
        <f t="shared" si="7"/>
        <v>0.11130347874549759</v>
      </c>
      <c r="L72" s="126">
        <f t="shared" si="8"/>
        <v>8.4590643846578176E-2</v>
      </c>
      <c r="M72" s="29"/>
      <c r="N72" s="29"/>
      <c r="O72" s="29"/>
      <c r="P72" s="30"/>
      <c r="Q72" s="27"/>
      <c r="R72" s="80">
        <f t="shared" si="9"/>
        <v>0.13681523244243027</v>
      </c>
      <c r="S72" s="80">
        <f t="shared" si="10"/>
        <v>0.10397957665624701</v>
      </c>
      <c r="T72" s="80">
        <f t="shared" si="11"/>
        <v>7.9024478258747727E-2</v>
      </c>
      <c r="U72" s="81">
        <f t="shared" si="12"/>
        <v>6.0058603476648272E-2</v>
      </c>
      <c r="V72" s="27"/>
      <c r="W72" s="27"/>
      <c r="X72" s="27"/>
      <c r="Y72" s="82"/>
      <c r="Z72" s="83">
        <f t="shared" si="13"/>
        <v>1.7655794621205026E-3</v>
      </c>
      <c r="AA72" s="80">
        <f t="shared" si="15"/>
        <v>0.13694258787834127</v>
      </c>
      <c r="AB72" s="81">
        <f t="shared" si="14"/>
        <v>1.6219407056080167E-8</v>
      </c>
      <c r="AC72" s="27"/>
      <c r="AD72" s="27"/>
    </row>
    <row r="73" spans="1:30">
      <c r="A73" s="74">
        <f t="shared" si="0"/>
        <v>1</v>
      </c>
      <c r="B73" s="75">
        <v>40</v>
      </c>
      <c r="C73" s="127">
        <v>0.78</v>
      </c>
      <c r="D73" s="84">
        <v>0.1389529428001437</v>
      </c>
      <c r="E73" s="124">
        <f t="shared" si="1"/>
        <v>0.60840000000000005</v>
      </c>
      <c r="F73" s="125">
        <f t="shared" si="2"/>
        <v>0.47455200000000003</v>
      </c>
      <c r="G73" s="125">
        <f t="shared" si="3"/>
        <v>0.37015056000000007</v>
      </c>
      <c r="H73" s="125">
        <f t="shared" si="4"/>
        <v>0.28871743680000006</v>
      </c>
      <c r="I73" s="125">
        <f t="shared" si="5"/>
        <v>0.22519960070400005</v>
      </c>
      <c r="J73" s="125">
        <f t="shared" si="6"/>
        <v>0.17565568854912006</v>
      </c>
      <c r="K73" s="125">
        <f t="shared" si="7"/>
        <v>0.13701143706831365</v>
      </c>
      <c r="L73" s="126">
        <f t="shared" si="8"/>
        <v>0.10686892091328465</v>
      </c>
      <c r="M73" s="29"/>
      <c r="N73" s="29"/>
      <c r="O73" s="29"/>
      <c r="P73" s="30"/>
      <c r="Q73" s="27"/>
      <c r="R73" s="80">
        <f t="shared" si="9"/>
        <v>0.1389529428001437</v>
      </c>
      <c r="S73" s="80">
        <f t="shared" si="10"/>
        <v>0.10838329538411209</v>
      </c>
      <c r="T73" s="80">
        <f t="shared" si="11"/>
        <v>8.4538970399607435E-2</v>
      </c>
      <c r="U73" s="81">
        <f t="shared" si="12"/>
        <v>6.5940396911693802E-2</v>
      </c>
      <c r="V73" s="27"/>
      <c r="W73" s="27"/>
      <c r="X73" s="27"/>
      <c r="Y73" s="82"/>
      <c r="Z73" s="83">
        <f t="shared" si="13"/>
        <v>1.949797311005468E-3</v>
      </c>
      <c r="AA73" s="80">
        <f t="shared" si="15"/>
        <v>0.13908551906257768</v>
      </c>
      <c r="AB73" s="81">
        <f t="shared" si="14"/>
        <v>1.7576465360965278E-8</v>
      </c>
      <c r="AC73" s="27"/>
      <c r="AD73" s="27"/>
    </row>
    <row r="74" spans="1:30">
      <c r="A74" s="74">
        <f t="shared" si="0"/>
        <v>1</v>
      </c>
      <c r="B74" s="75">
        <v>41</v>
      </c>
      <c r="C74" s="127">
        <v>0.8</v>
      </c>
      <c r="D74" s="84">
        <v>0.14103542907485309</v>
      </c>
      <c r="E74" s="124">
        <f t="shared" si="1"/>
        <v>0.64000000000000012</v>
      </c>
      <c r="F74" s="125">
        <f t="shared" si="2"/>
        <v>0.51200000000000012</v>
      </c>
      <c r="G74" s="125">
        <f t="shared" si="3"/>
        <v>0.40960000000000019</v>
      </c>
      <c r="H74" s="125">
        <f t="shared" si="4"/>
        <v>0.32768000000000019</v>
      </c>
      <c r="I74" s="125">
        <f t="shared" si="5"/>
        <v>0.26214400000000015</v>
      </c>
      <c r="J74" s="125">
        <f t="shared" si="6"/>
        <v>0.20971520000000016</v>
      </c>
      <c r="K74" s="125">
        <f t="shared" si="7"/>
        <v>0.16777216000000014</v>
      </c>
      <c r="L74" s="126">
        <f t="shared" si="8"/>
        <v>0.13421772800000012</v>
      </c>
      <c r="M74" s="29"/>
      <c r="N74" s="29"/>
      <c r="O74" s="29"/>
      <c r="P74" s="30"/>
      <c r="Q74" s="27"/>
      <c r="R74" s="80">
        <f t="shared" si="9"/>
        <v>0.14103542907485309</v>
      </c>
      <c r="S74" s="80">
        <f t="shared" si="10"/>
        <v>0.11282834325988247</v>
      </c>
      <c r="T74" s="80">
        <f t="shared" si="11"/>
        <v>9.0262674607905991E-2</v>
      </c>
      <c r="U74" s="81">
        <f t="shared" si="12"/>
        <v>7.2210139686324795E-2</v>
      </c>
      <c r="V74" s="27"/>
      <c r="W74" s="27"/>
      <c r="X74" s="27"/>
      <c r="Y74" s="82"/>
      <c r="Z74" s="83">
        <f t="shared" si="13"/>
        <v>2.1380447090819537E-3</v>
      </c>
      <c r="AA74" s="80">
        <f t="shared" si="15"/>
        <v>0.14116822286885813</v>
      </c>
      <c r="AB74" s="81">
        <f t="shared" si="14"/>
        <v>1.7634191726255206E-8</v>
      </c>
      <c r="AC74" s="27"/>
      <c r="AD74" s="27"/>
    </row>
    <row r="75" spans="1:30">
      <c r="A75" s="74">
        <f t="shared" si="0"/>
        <v>1</v>
      </c>
      <c r="B75" s="75">
        <v>42</v>
      </c>
      <c r="C75" s="127">
        <v>0.82</v>
      </c>
      <c r="D75" s="84">
        <v>0.14306428669451057</v>
      </c>
      <c r="E75" s="124">
        <f t="shared" si="1"/>
        <v>0.67239999999999989</v>
      </c>
      <c r="F75" s="125">
        <f t="shared" si="2"/>
        <v>0.55136799999999986</v>
      </c>
      <c r="G75" s="125">
        <f t="shared" si="3"/>
        <v>0.45212175999999987</v>
      </c>
      <c r="H75" s="125">
        <f t="shared" si="4"/>
        <v>0.37073984319999986</v>
      </c>
      <c r="I75" s="125">
        <f t="shared" si="5"/>
        <v>0.30400667142399984</v>
      </c>
      <c r="J75" s="125">
        <f t="shared" si="6"/>
        <v>0.24928547056767986</v>
      </c>
      <c r="K75" s="125">
        <f t="shared" si="7"/>
        <v>0.20441408586549747</v>
      </c>
      <c r="L75" s="126">
        <f t="shared" si="8"/>
        <v>0.16761955040970791</v>
      </c>
      <c r="M75" s="29"/>
      <c r="N75" s="29"/>
      <c r="O75" s="29"/>
      <c r="P75" s="30"/>
      <c r="Q75" s="27"/>
      <c r="R75" s="80">
        <f t="shared" si="9"/>
        <v>0.14306428669451057</v>
      </c>
      <c r="S75" s="80">
        <f t="shared" si="10"/>
        <v>0.11731271508949866</v>
      </c>
      <c r="T75" s="80">
        <f t="shared" si="11"/>
        <v>9.6196426373388891E-2</v>
      </c>
      <c r="U75" s="81">
        <f t="shared" si="12"/>
        <v>7.8881069626178885E-2</v>
      </c>
      <c r="V75" s="27"/>
      <c r="W75" s="27"/>
      <c r="X75" s="27"/>
      <c r="Y75" s="82"/>
      <c r="Z75" s="83">
        <f t="shared" si="13"/>
        <v>2.3297856491994937E-3</v>
      </c>
      <c r="AA75" s="80">
        <f t="shared" si="15"/>
        <v>0.14319185971725223</v>
      </c>
      <c r="AB75" s="81">
        <f t="shared" si="14"/>
        <v>1.6274876131444507E-8</v>
      </c>
      <c r="AC75" s="27"/>
      <c r="AD75" s="27"/>
    </row>
    <row r="76" spans="1:30">
      <c r="A76" s="74">
        <f t="shared" si="0"/>
        <v>1</v>
      </c>
      <c r="B76" s="75">
        <v>43</v>
      </c>
      <c r="C76" s="127">
        <v>0.84</v>
      </c>
      <c r="D76" s="84">
        <v>0.1450410732801814</v>
      </c>
      <c r="E76" s="124">
        <f t="shared" si="1"/>
        <v>0.70559999999999989</v>
      </c>
      <c r="F76" s="125">
        <f t="shared" si="2"/>
        <v>0.5927039999999999</v>
      </c>
      <c r="G76" s="125">
        <f t="shared" si="3"/>
        <v>0.49787135999999987</v>
      </c>
      <c r="H76" s="125">
        <f t="shared" si="4"/>
        <v>0.41821194239999987</v>
      </c>
      <c r="I76" s="125">
        <f t="shared" si="5"/>
        <v>0.35129803161599987</v>
      </c>
      <c r="J76" s="125">
        <f t="shared" si="6"/>
        <v>0.29509034655743988</v>
      </c>
      <c r="K76" s="125">
        <f t="shared" si="7"/>
        <v>0.24787589110824948</v>
      </c>
      <c r="L76" s="126">
        <f t="shared" si="8"/>
        <v>0.20821574853092956</v>
      </c>
      <c r="M76" s="29"/>
      <c r="N76" s="29"/>
      <c r="O76" s="29"/>
      <c r="P76" s="30"/>
      <c r="Q76" s="27"/>
      <c r="R76" s="80">
        <f t="shared" si="9"/>
        <v>0.1450410732801814</v>
      </c>
      <c r="S76" s="80">
        <f t="shared" si="10"/>
        <v>0.12183450155535237</v>
      </c>
      <c r="T76" s="80">
        <f t="shared" si="11"/>
        <v>0.10234098130649598</v>
      </c>
      <c r="U76" s="81">
        <f t="shared" si="12"/>
        <v>8.5966424297456615E-2</v>
      </c>
      <c r="V76" s="27"/>
      <c r="W76" s="27"/>
      <c r="X76" s="27"/>
      <c r="Y76" s="82"/>
      <c r="Z76" s="83">
        <f t="shared" si="13"/>
        <v>2.5245238237178833E-3</v>
      </c>
      <c r="AA76" s="80">
        <f t="shared" si="15"/>
        <v>0.14515759002782955</v>
      </c>
      <c r="AB76" s="81">
        <f t="shared" si="14"/>
        <v>1.3576152482502386E-8</v>
      </c>
      <c r="AC76" s="27"/>
      <c r="AD76" s="27"/>
    </row>
    <row r="77" spans="1:30">
      <c r="A77" s="74">
        <f t="shared" si="0"/>
        <v>1</v>
      </c>
      <c r="B77" s="75">
        <v>44</v>
      </c>
      <c r="C77" s="127">
        <v>0.86</v>
      </c>
      <c r="D77" s="84">
        <v>0.14696730800558797</v>
      </c>
      <c r="E77" s="124">
        <f t="shared" si="1"/>
        <v>0.73959999999999992</v>
      </c>
      <c r="F77" s="125">
        <f t="shared" si="2"/>
        <v>0.63605599999999995</v>
      </c>
      <c r="G77" s="125">
        <f t="shared" si="3"/>
        <v>0.54700815999999985</v>
      </c>
      <c r="H77" s="125">
        <f t="shared" si="4"/>
        <v>0.47042701759999989</v>
      </c>
      <c r="I77" s="125">
        <f t="shared" si="5"/>
        <v>0.40456723513599985</v>
      </c>
      <c r="J77" s="125">
        <f t="shared" si="6"/>
        <v>0.34792782221695989</v>
      </c>
      <c r="K77" s="125">
        <f t="shared" si="7"/>
        <v>0.29921792710658546</v>
      </c>
      <c r="L77" s="126">
        <f t="shared" si="8"/>
        <v>0.25732741731166348</v>
      </c>
      <c r="M77" s="29"/>
      <c r="N77" s="29"/>
      <c r="O77" s="29"/>
      <c r="P77" s="30"/>
      <c r="Q77" s="27"/>
      <c r="R77" s="80">
        <f t="shared" si="9"/>
        <v>0.14696730800558797</v>
      </c>
      <c r="S77" s="80">
        <f t="shared" si="10"/>
        <v>0.12639188488480566</v>
      </c>
      <c r="T77" s="80">
        <f t="shared" si="11"/>
        <v>0.10869702100093284</v>
      </c>
      <c r="U77" s="81">
        <f t="shared" si="12"/>
        <v>9.347943806080225E-2</v>
      </c>
      <c r="V77" s="27"/>
      <c r="W77" s="27"/>
      <c r="X77" s="27"/>
      <c r="Y77" s="82"/>
      <c r="Z77" s="83">
        <f t="shared" si="13"/>
        <v>2.721800143643472E-3</v>
      </c>
      <c r="AA77" s="80">
        <f t="shared" si="15"/>
        <v>0.14706657422065958</v>
      </c>
      <c r="AB77" s="81">
        <f t="shared" si="14"/>
        <v>9.8537814546439118E-9</v>
      </c>
      <c r="AC77" s="27"/>
      <c r="AD77" s="27"/>
    </row>
    <row r="78" spans="1:30">
      <c r="A78" s="74">
        <f t="shared" si="0"/>
        <v>1</v>
      </c>
      <c r="B78" s="75">
        <v>45</v>
      </c>
      <c r="C78" s="127">
        <v>0.88</v>
      </c>
      <c r="D78" s="84">
        <v>0.14884447120318894</v>
      </c>
      <c r="E78" s="124">
        <f t="shared" si="1"/>
        <v>0.77439999999999998</v>
      </c>
      <c r="F78" s="125">
        <f t="shared" si="2"/>
        <v>0.68147199999999997</v>
      </c>
      <c r="G78" s="125">
        <f t="shared" si="3"/>
        <v>0.59969536000000001</v>
      </c>
      <c r="H78" s="125">
        <f t="shared" si="4"/>
        <v>0.52773191679999998</v>
      </c>
      <c r="I78" s="125">
        <f t="shared" si="5"/>
        <v>0.46440408678399997</v>
      </c>
      <c r="J78" s="125">
        <f t="shared" si="6"/>
        <v>0.40867559636992001</v>
      </c>
      <c r="K78" s="125">
        <f t="shared" si="7"/>
        <v>0.3596345248055296</v>
      </c>
      <c r="L78" s="126">
        <f t="shared" si="8"/>
        <v>0.31647838182886606</v>
      </c>
      <c r="M78" s="29"/>
      <c r="N78" s="29"/>
      <c r="O78" s="29"/>
      <c r="P78" s="30"/>
      <c r="Q78" s="27"/>
      <c r="R78" s="80">
        <f t="shared" si="9"/>
        <v>0.14884447120318894</v>
      </c>
      <c r="S78" s="80">
        <f t="shared" si="10"/>
        <v>0.13098313465880626</v>
      </c>
      <c r="T78" s="80">
        <f t="shared" si="11"/>
        <v>0.11526515849974951</v>
      </c>
      <c r="U78" s="81">
        <f t="shared" si="12"/>
        <v>0.10143333947977957</v>
      </c>
      <c r="V78" s="27"/>
      <c r="W78" s="27"/>
      <c r="X78" s="27"/>
      <c r="Y78" s="82"/>
      <c r="Z78" s="83">
        <f t="shared" si="13"/>
        <v>2.9211903764218188E-3</v>
      </c>
      <c r="AA78" s="80">
        <f t="shared" si="15"/>
        <v>0.14891997271581203</v>
      </c>
      <c r="AB78" s="81">
        <f t="shared" si="14"/>
        <v>5.7004784083743865E-9</v>
      </c>
      <c r="AC78" s="27"/>
      <c r="AD78" s="27"/>
    </row>
    <row r="79" spans="1:30">
      <c r="A79" s="74">
        <f t="shared" si="0"/>
        <v>1</v>
      </c>
      <c r="B79" s="75">
        <v>46</v>
      </c>
      <c r="C79" s="127">
        <v>0.9</v>
      </c>
      <c r="D79" s="84">
        <v>0.15067400418367366</v>
      </c>
      <c r="E79" s="124">
        <f t="shared" si="1"/>
        <v>0.81</v>
      </c>
      <c r="F79" s="125">
        <f t="shared" si="2"/>
        <v>0.72900000000000009</v>
      </c>
      <c r="G79" s="125">
        <f t="shared" si="3"/>
        <v>0.65610000000000013</v>
      </c>
      <c r="H79" s="125">
        <f t="shared" si="4"/>
        <v>0.59049000000000018</v>
      </c>
      <c r="I79" s="125">
        <f t="shared" si="5"/>
        <v>0.53144100000000016</v>
      </c>
      <c r="J79" s="125">
        <f t="shared" si="6"/>
        <v>0.47829690000000014</v>
      </c>
      <c r="K79" s="125">
        <f t="shared" si="7"/>
        <v>0.43046721000000016</v>
      </c>
      <c r="L79" s="126">
        <f t="shared" si="8"/>
        <v>0.38742048900000015</v>
      </c>
      <c r="M79" s="29"/>
      <c r="N79" s="29"/>
      <c r="O79" s="29"/>
      <c r="P79" s="30"/>
      <c r="Q79" s="27"/>
      <c r="R79" s="80">
        <f t="shared" si="9"/>
        <v>0.15067400418367366</v>
      </c>
      <c r="S79" s="80">
        <f t="shared" si="10"/>
        <v>0.13560660376530631</v>
      </c>
      <c r="T79" s="80">
        <f t="shared" si="11"/>
        <v>0.12204594338877567</v>
      </c>
      <c r="U79" s="81">
        <f t="shared" si="12"/>
        <v>0.10984134904989812</v>
      </c>
      <c r="V79" s="27"/>
      <c r="W79" s="27"/>
      <c r="X79" s="27"/>
      <c r="Y79" s="82"/>
      <c r="Z79" s="83">
        <f t="shared" si="13"/>
        <v>3.1223029022590227E-3</v>
      </c>
      <c r="AA79" s="80">
        <f t="shared" si="15"/>
        <v>0.1507189459333565</v>
      </c>
      <c r="AB79" s="81">
        <f t="shared" si="14"/>
        <v>2.0197608645547234E-9</v>
      </c>
      <c r="AC79" s="27"/>
      <c r="AD79" s="27"/>
    </row>
    <row r="80" spans="1:30">
      <c r="A80" s="74">
        <f t="shared" si="0"/>
        <v>1</v>
      </c>
      <c r="B80" s="75">
        <v>47</v>
      </c>
      <c r="C80" s="127">
        <v>0.92</v>
      </c>
      <c r="D80" s="84">
        <v>0.15245730923949821</v>
      </c>
      <c r="E80" s="124">
        <f t="shared" si="1"/>
        <v>0.84640000000000004</v>
      </c>
      <c r="F80" s="125">
        <f t="shared" si="2"/>
        <v>0.77868800000000005</v>
      </c>
      <c r="G80" s="125">
        <f t="shared" si="3"/>
        <v>0.71639296000000008</v>
      </c>
      <c r="H80" s="125">
        <f t="shared" si="4"/>
        <v>0.65908152320000013</v>
      </c>
      <c r="I80" s="125">
        <f t="shared" si="5"/>
        <v>0.60635500134400011</v>
      </c>
      <c r="J80" s="125">
        <f t="shared" si="6"/>
        <v>0.55784660123648011</v>
      </c>
      <c r="K80" s="125">
        <f t="shared" si="7"/>
        <v>0.51321887313756176</v>
      </c>
      <c r="L80" s="126">
        <f t="shared" si="8"/>
        <v>0.47216136328655683</v>
      </c>
      <c r="M80" s="29"/>
      <c r="N80" s="29"/>
      <c r="O80" s="29"/>
      <c r="P80" s="30"/>
      <c r="Q80" s="27"/>
      <c r="R80" s="80">
        <f t="shared" si="9"/>
        <v>0.15245730923949821</v>
      </c>
      <c r="S80" s="80">
        <f t="shared" si="10"/>
        <v>0.14026072450033836</v>
      </c>
      <c r="T80" s="80">
        <f t="shared" si="11"/>
        <v>0.1290398665403113</v>
      </c>
      <c r="U80" s="81">
        <f t="shared" si="12"/>
        <v>0.1187166772170864</v>
      </c>
      <c r="V80" s="27"/>
      <c r="W80" s="27"/>
      <c r="X80" s="27"/>
      <c r="Y80" s="82"/>
      <c r="Z80" s="83">
        <f t="shared" si="13"/>
        <v>3.3247765876922102E-3</v>
      </c>
      <c r="AA80" s="80">
        <f t="shared" si="15"/>
        <v>0.15246465429336248</v>
      </c>
      <c r="AB80" s="81">
        <f t="shared" si="14"/>
        <v>5.394981626897027E-11</v>
      </c>
      <c r="AC80" s="27"/>
      <c r="AD80" s="27"/>
    </row>
    <row r="81" spans="1:30">
      <c r="A81" s="74">
        <f t="shared" si="0"/>
        <v>1</v>
      </c>
      <c r="B81" s="75">
        <v>48</v>
      </c>
      <c r="C81" s="127">
        <v>0.94</v>
      </c>
      <c r="D81" s="84">
        <v>0.15419574980642692</v>
      </c>
      <c r="E81" s="124">
        <f t="shared" si="1"/>
        <v>0.88359999999999994</v>
      </c>
      <c r="F81" s="125">
        <f t="shared" si="2"/>
        <v>0.83058399999999988</v>
      </c>
      <c r="G81" s="125">
        <f t="shared" si="3"/>
        <v>0.78074895999999994</v>
      </c>
      <c r="H81" s="125">
        <f t="shared" si="4"/>
        <v>0.73390402239999986</v>
      </c>
      <c r="I81" s="125">
        <f t="shared" si="5"/>
        <v>0.68986978105599994</v>
      </c>
      <c r="J81" s="125">
        <f t="shared" si="6"/>
        <v>0.64847759419263984</v>
      </c>
      <c r="K81" s="125">
        <f t="shared" si="7"/>
        <v>0.60956893854108152</v>
      </c>
      <c r="L81" s="126">
        <f t="shared" si="8"/>
        <v>0.57299480222861654</v>
      </c>
      <c r="M81" s="29"/>
      <c r="N81" s="29"/>
      <c r="O81" s="29"/>
      <c r="P81" s="30"/>
      <c r="Q81" s="27"/>
      <c r="R81" s="80">
        <f t="shared" si="9"/>
        <v>0.15419574980642692</v>
      </c>
      <c r="S81" s="80">
        <f t="shared" si="10"/>
        <v>0.14494400481804129</v>
      </c>
      <c r="T81" s="80">
        <f t="shared" si="11"/>
        <v>0.1362473645289588</v>
      </c>
      <c r="U81" s="81">
        <f t="shared" si="12"/>
        <v>0.12807252265722127</v>
      </c>
      <c r="V81" s="27"/>
      <c r="W81" s="27"/>
      <c r="X81" s="27"/>
      <c r="Y81" s="82"/>
      <c r="Z81" s="83">
        <f t="shared" si="13"/>
        <v>3.5282787742162013E-3</v>
      </c>
      <c r="AA81" s="80">
        <f t="shared" si="15"/>
        <v>0.15415825821589965</v>
      </c>
      <c r="AB81" s="81">
        <f t="shared" si="14"/>
        <v>1.4056193602642253E-9</v>
      </c>
      <c r="AC81" s="27"/>
      <c r="AD81" s="27"/>
    </row>
    <row r="82" spans="1:30">
      <c r="A82" s="74">
        <f t="shared" si="0"/>
        <v>1</v>
      </c>
      <c r="B82" s="75">
        <v>49</v>
      </c>
      <c r="C82" s="127">
        <v>0.96</v>
      </c>
      <c r="D82" s="84">
        <v>0.15589065076003822</v>
      </c>
      <c r="E82" s="124">
        <f t="shared" si="1"/>
        <v>0.92159999999999997</v>
      </c>
      <c r="F82" s="125">
        <f t="shared" si="2"/>
        <v>0.88473599999999997</v>
      </c>
      <c r="G82" s="125">
        <f t="shared" si="3"/>
        <v>0.84934655999999997</v>
      </c>
      <c r="H82" s="125">
        <f t="shared" si="4"/>
        <v>0.81537269759999997</v>
      </c>
      <c r="I82" s="125">
        <f t="shared" si="5"/>
        <v>0.78275778969599996</v>
      </c>
      <c r="J82" s="125">
        <f t="shared" si="6"/>
        <v>0.75144747810815993</v>
      </c>
      <c r="K82" s="125">
        <f t="shared" si="7"/>
        <v>0.7213895789838336</v>
      </c>
      <c r="L82" s="126">
        <f t="shared" si="8"/>
        <v>0.69253399582448028</v>
      </c>
      <c r="M82" s="29"/>
      <c r="N82" s="29"/>
      <c r="O82" s="29"/>
      <c r="P82" s="30"/>
      <c r="Q82" s="27"/>
      <c r="R82" s="80">
        <f t="shared" si="9"/>
        <v>0.15589065076003822</v>
      </c>
      <c r="S82" s="80">
        <f t="shared" si="10"/>
        <v>0.14965502472963668</v>
      </c>
      <c r="T82" s="80">
        <f t="shared" si="11"/>
        <v>0.14366882374045123</v>
      </c>
      <c r="U82" s="81">
        <f t="shared" si="12"/>
        <v>0.13792207079083316</v>
      </c>
      <c r="V82" s="27"/>
      <c r="W82" s="27"/>
      <c r="X82" s="27"/>
      <c r="Y82" s="82"/>
      <c r="Z82" s="83">
        <f t="shared" si="13"/>
        <v>3.7325033790634203E-3</v>
      </c>
      <c r="AA82" s="80">
        <f t="shared" si="15"/>
        <v>0.1558009181210375</v>
      </c>
      <c r="AB82" s="81">
        <f t="shared" si="14"/>
        <v>8.0519465020339819E-9</v>
      </c>
      <c r="AC82" s="27"/>
      <c r="AD82" s="27"/>
    </row>
    <row r="83" spans="1:30">
      <c r="A83" s="74">
        <f t="shared" si="0"/>
        <v>1</v>
      </c>
      <c r="B83" s="75">
        <v>50</v>
      </c>
      <c r="C83" s="127">
        <v>0.98</v>
      </c>
      <c r="D83" s="84">
        <v>0.15754329882682339</v>
      </c>
      <c r="E83" s="124">
        <f t="shared" si="1"/>
        <v>0.96039999999999992</v>
      </c>
      <c r="F83" s="125">
        <f t="shared" si="2"/>
        <v>0.94119199999999992</v>
      </c>
      <c r="G83" s="125">
        <f t="shared" si="3"/>
        <v>0.92236815999999988</v>
      </c>
      <c r="H83" s="125">
        <f t="shared" si="4"/>
        <v>0.90392079679999982</v>
      </c>
      <c r="I83" s="125">
        <f t="shared" si="5"/>
        <v>0.8858423808639998</v>
      </c>
      <c r="J83" s="125">
        <f t="shared" si="6"/>
        <v>0.86812553324671982</v>
      </c>
      <c r="K83" s="125">
        <f t="shared" si="7"/>
        <v>0.85076302258178538</v>
      </c>
      <c r="L83" s="126">
        <f t="shared" si="8"/>
        <v>0.83374776213014967</v>
      </c>
      <c r="M83" s="29"/>
      <c r="N83" s="29"/>
      <c r="O83" s="29"/>
      <c r="P83" s="30"/>
      <c r="Q83" s="27"/>
      <c r="R83" s="80">
        <f t="shared" si="9"/>
        <v>0.15754329882682339</v>
      </c>
      <c r="S83" s="80">
        <f t="shared" si="10"/>
        <v>0.15439243285028692</v>
      </c>
      <c r="T83" s="80">
        <f t="shared" si="11"/>
        <v>0.15130458419328116</v>
      </c>
      <c r="U83" s="81">
        <f t="shared" si="12"/>
        <v>0.14827849250941555</v>
      </c>
      <c r="V83" s="27"/>
      <c r="W83" s="27"/>
      <c r="X83" s="27"/>
      <c r="Y83" s="82"/>
      <c r="Z83" s="83">
        <f t="shared" si="13"/>
        <v>3.9371691046930588E-3</v>
      </c>
      <c r="AA83" s="80">
        <f t="shared" si="15"/>
        <v>0.15739379442884571</v>
      </c>
      <c r="AB83" s="81">
        <f t="shared" si="14"/>
        <v>2.2351565014666538E-8</v>
      </c>
      <c r="AC83" s="27"/>
      <c r="AD83" s="27"/>
    </row>
    <row r="84" spans="1:30">
      <c r="A84" s="74">
        <f t="shared" si="0"/>
        <v>1</v>
      </c>
      <c r="B84" s="75">
        <v>51</v>
      </c>
      <c r="C84" s="127">
        <v>1</v>
      </c>
      <c r="D84" s="84">
        <v>0.15915494309189535</v>
      </c>
      <c r="E84" s="124">
        <f t="shared" si="1"/>
        <v>1</v>
      </c>
      <c r="F84" s="125">
        <f t="shared" si="2"/>
        <v>1</v>
      </c>
      <c r="G84" s="125">
        <f t="shared" si="3"/>
        <v>1</v>
      </c>
      <c r="H84" s="125">
        <f t="shared" si="4"/>
        <v>1</v>
      </c>
      <c r="I84" s="125">
        <f t="shared" si="5"/>
        <v>1</v>
      </c>
      <c r="J84" s="125">
        <f t="shared" si="6"/>
        <v>1</v>
      </c>
      <c r="K84" s="125">
        <f t="shared" si="7"/>
        <v>1</v>
      </c>
      <c r="L84" s="126">
        <f t="shared" si="8"/>
        <v>1</v>
      </c>
      <c r="M84" s="29"/>
      <c r="N84" s="29"/>
      <c r="O84" s="29"/>
      <c r="P84" s="30"/>
      <c r="Q84" s="27"/>
      <c r="R84" s="80">
        <f t="shared" si="9"/>
        <v>0.15915494309189535</v>
      </c>
      <c r="S84" s="80">
        <f t="shared" si="10"/>
        <v>0.15915494309189535</v>
      </c>
      <c r="T84" s="80">
        <f t="shared" si="11"/>
        <v>0.15915494309189535</v>
      </c>
      <c r="U84" s="81">
        <f t="shared" si="12"/>
        <v>0.15915494309189535</v>
      </c>
      <c r="V84" s="27"/>
      <c r="W84" s="27"/>
      <c r="X84" s="27"/>
      <c r="Y84" s="82"/>
      <c r="Z84" s="83">
        <f t="shared" si="13"/>
        <v>4.1420177531468977E-3</v>
      </c>
      <c r="AA84" s="80">
        <f t="shared" si="15"/>
        <v>0.15893804755939378</v>
      </c>
      <c r="AB84" s="81">
        <f t="shared" si="14"/>
        <v>4.7043672019137587E-8</v>
      </c>
      <c r="AC84" s="27"/>
      <c r="AD84" s="27"/>
    </row>
    <row r="85" spans="1:30">
      <c r="A85" s="74">
        <f t="shared" si="0"/>
        <v>0</v>
      </c>
      <c r="B85" s="75" t="s">
        <v>60</v>
      </c>
      <c r="C85" s="76" t="s">
        <v>60</v>
      </c>
      <c r="D85" s="84" t="s">
        <v>60</v>
      </c>
      <c r="E85" s="77" t="str">
        <f t="shared" si="1"/>
        <v/>
      </c>
      <c r="F85" s="78" t="str">
        <f t="shared" si="2"/>
        <v/>
      </c>
      <c r="G85" s="78" t="str">
        <f t="shared" si="3"/>
        <v/>
      </c>
      <c r="H85" s="78" t="str">
        <f t="shared" si="4"/>
        <v/>
      </c>
      <c r="I85" s="78" t="str">
        <f t="shared" si="5"/>
        <v/>
      </c>
      <c r="J85" s="78" t="str">
        <f t="shared" si="6"/>
        <v/>
      </c>
      <c r="K85" s="78" t="str">
        <f t="shared" si="7"/>
        <v/>
      </c>
      <c r="L85" s="79" t="str">
        <f t="shared" si="8"/>
        <v/>
      </c>
      <c r="M85" s="29"/>
      <c r="N85" s="29"/>
      <c r="O85" s="29"/>
      <c r="P85" s="30"/>
      <c r="Q85" s="27"/>
      <c r="R85" s="80" t="str">
        <f t="shared" si="9"/>
        <v/>
      </c>
      <c r="S85" s="80" t="str">
        <f t="shared" si="10"/>
        <v/>
      </c>
      <c r="T85" s="80" t="str">
        <f t="shared" si="11"/>
        <v/>
      </c>
      <c r="U85" s="81" t="str">
        <f t="shared" si="12"/>
        <v/>
      </c>
      <c r="V85" s="27"/>
      <c r="W85" s="27"/>
      <c r="X85" s="27"/>
      <c r="Y85" s="82"/>
      <c r="Z85" s="83" t="str">
        <f t="shared" si="13"/>
        <v/>
      </c>
      <c r="AA85" s="80" t="str">
        <f t="shared" si="15"/>
        <v/>
      </c>
      <c r="AB85" s="81" t="str">
        <f t="shared" si="14"/>
        <v/>
      </c>
      <c r="AC85" s="27"/>
      <c r="AD85" s="27"/>
    </row>
    <row r="86" spans="1:30">
      <c r="A86" s="74">
        <f t="shared" si="0"/>
        <v>0</v>
      </c>
      <c r="B86" s="75" t="s">
        <v>60</v>
      </c>
      <c r="C86" s="76" t="s">
        <v>60</v>
      </c>
      <c r="D86" s="84" t="s">
        <v>60</v>
      </c>
      <c r="E86" s="77" t="str">
        <f t="shared" si="1"/>
        <v/>
      </c>
      <c r="F86" s="78" t="str">
        <f t="shared" si="2"/>
        <v/>
      </c>
      <c r="G86" s="78" t="str">
        <f t="shared" si="3"/>
        <v/>
      </c>
      <c r="H86" s="78" t="str">
        <f t="shared" si="4"/>
        <v/>
      </c>
      <c r="I86" s="78" t="str">
        <f t="shared" si="5"/>
        <v/>
      </c>
      <c r="J86" s="78" t="str">
        <f t="shared" si="6"/>
        <v/>
      </c>
      <c r="K86" s="78" t="str">
        <f t="shared" si="7"/>
        <v/>
      </c>
      <c r="L86" s="79" t="str">
        <f t="shared" si="8"/>
        <v/>
      </c>
      <c r="M86" s="29"/>
      <c r="N86" s="29"/>
      <c r="O86" s="29"/>
      <c r="P86" s="30"/>
      <c r="Q86" s="27"/>
      <c r="R86" s="80" t="str">
        <f t="shared" si="9"/>
        <v/>
      </c>
      <c r="S86" s="80" t="str">
        <f t="shared" si="10"/>
        <v/>
      </c>
      <c r="T86" s="80" t="str">
        <f t="shared" si="11"/>
        <v/>
      </c>
      <c r="U86" s="81" t="str">
        <f t="shared" si="12"/>
        <v/>
      </c>
      <c r="V86" s="27"/>
      <c r="W86" s="27"/>
      <c r="X86" s="27"/>
      <c r="Y86" s="82"/>
      <c r="Z86" s="83" t="str">
        <f t="shared" si="13"/>
        <v/>
      </c>
      <c r="AA86" s="80" t="str">
        <f t="shared" si="15"/>
        <v/>
      </c>
      <c r="AB86" s="81" t="str">
        <f t="shared" si="14"/>
        <v/>
      </c>
      <c r="AC86" s="27"/>
      <c r="AD86" s="27"/>
    </row>
    <row r="87" spans="1:30">
      <c r="A87" s="74">
        <f t="shared" si="0"/>
        <v>0</v>
      </c>
      <c r="B87" s="75" t="s">
        <v>60</v>
      </c>
      <c r="C87" s="76" t="s">
        <v>60</v>
      </c>
      <c r="D87" s="84" t="s">
        <v>60</v>
      </c>
      <c r="E87" s="77" t="str">
        <f t="shared" si="1"/>
        <v/>
      </c>
      <c r="F87" s="78" t="str">
        <f t="shared" si="2"/>
        <v/>
      </c>
      <c r="G87" s="78" t="str">
        <f t="shared" si="3"/>
        <v/>
      </c>
      <c r="H87" s="78" t="str">
        <f t="shared" si="4"/>
        <v/>
      </c>
      <c r="I87" s="78" t="str">
        <f t="shared" si="5"/>
        <v/>
      </c>
      <c r="J87" s="78" t="str">
        <f t="shared" si="6"/>
        <v/>
      </c>
      <c r="K87" s="78" t="str">
        <f t="shared" si="7"/>
        <v/>
      </c>
      <c r="L87" s="79" t="str">
        <f t="shared" si="8"/>
        <v/>
      </c>
      <c r="M87" s="29"/>
      <c r="N87" s="29"/>
      <c r="O87" s="29"/>
      <c r="P87" s="30"/>
      <c r="Q87" s="27"/>
      <c r="R87" s="80" t="str">
        <f t="shared" si="9"/>
        <v/>
      </c>
      <c r="S87" s="80" t="str">
        <f t="shared" si="10"/>
        <v/>
      </c>
      <c r="T87" s="80" t="str">
        <f t="shared" si="11"/>
        <v/>
      </c>
      <c r="U87" s="81" t="str">
        <f t="shared" si="12"/>
        <v/>
      </c>
      <c r="V87" s="27"/>
      <c r="W87" s="27"/>
      <c r="X87" s="27"/>
      <c r="Y87" s="82"/>
      <c r="Z87" s="83" t="str">
        <f t="shared" si="13"/>
        <v/>
      </c>
      <c r="AA87" s="80" t="str">
        <f t="shared" si="15"/>
        <v/>
      </c>
      <c r="AB87" s="81" t="str">
        <f t="shared" si="14"/>
        <v/>
      </c>
      <c r="AC87" s="27"/>
      <c r="AD87" s="27"/>
    </row>
    <row r="88" spans="1:30">
      <c r="A88" s="74">
        <f t="shared" si="0"/>
        <v>0</v>
      </c>
      <c r="B88" s="75" t="s">
        <v>60</v>
      </c>
      <c r="C88" s="76" t="s">
        <v>60</v>
      </c>
      <c r="D88" s="84" t="s">
        <v>60</v>
      </c>
      <c r="E88" s="77" t="str">
        <f t="shared" si="1"/>
        <v/>
      </c>
      <c r="F88" s="78" t="str">
        <f t="shared" si="2"/>
        <v/>
      </c>
      <c r="G88" s="78" t="str">
        <f t="shared" si="3"/>
        <v/>
      </c>
      <c r="H88" s="78" t="str">
        <f t="shared" si="4"/>
        <v/>
      </c>
      <c r="I88" s="78" t="str">
        <f t="shared" si="5"/>
        <v/>
      </c>
      <c r="J88" s="78" t="str">
        <f t="shared" si="6"/>
        <v/>
      </c>
      <c r="K88" s="78" t="str">
        <f t="shared" si="7"/>
        <v/>
      </c>
      <c r="L88" s="79" t="str">
        <f t="shared" si="8"/>
        <v/>
      </c>
      <c r="M88" s="29"/>
      <c r="N88" s="29"/>
      <c r="O88" s="29"/>
      <c r="P88" s="30"/>
      <c r="Q88" s="27"/>
      <c r="R88" s="80" t="str">
        <f t="shared" si="9"/>
        <v/>
      </c>
      <c r="S88" s="80" t="str">
        <f t="shared" si="10"/>
        <v/>
      </c>
      <c r="T88" s="80" t="str">
        <f t="shared" si="11"/>
        <v/>
      </c>
      <c r="U88" s="81" t="str">
        <f t="shared" si="12"/>
        <v/>
      </c>
      <c r="V88" s="27"/>
      <c r="W88" s="27"/>
      <c r="X88" s="27"/>
      <c r="Y88" s="82"/>
      <c r="Z88" s="83" t="str">
        <f t="shared" si="13"/>
        <v/>
      </c>
      <c r="AA88" s="80" t="str">
        <f t="shared" si="15"/>
        <v/>
      </c>
      <c r="AB88" s="81" t="str">
        <f t="shared" si="14"/>
        <v/>
      </c>
      <c r="AC88" s="27"/>
      <c r="AD88" s="27"/>
    </row>
    <row r="89" spans="1:30">
      <c r="A89" s="74">
        <f t="shared" si="0"/>
        <v>0</v>
      </c>
      <c r="B89" s="75" t="s">
        <v>60</v>
      </c>
      <c r="C89" s="76" t="s">
        <v>60</v>
      </c>
      <c r="D89" s="84" t="s">
        <v>60</v>
      </c>
      <c r="E89" s="77" t="str">
        <f t="shared" si="1"/>
        <v/>
      </c>
      <c r="F89" s="78" t="str">
        <f t="shared" si="2"/>
        <v/>
      </c>
      <c r="G89" s="78" t="str">
        <f t="shared" si="3"/>
        <v/>
      </c>
      <c r="H89" s="78" t="str">
        <f t="shared" si="4"/>
        <v/>
      </c>
      <c r="I89" s="78" t="str">
        <f t="shared" si="5"/>
        <v/>
      </c>
      <c r="J89" s="78" t="str">
        <f t="shared" si="6"/>
        <v/>
      </c>
      <c r="K89" s="78" t="str">
        <f t="shared" si="7"/>
        <v/>
      </c>
      <c r="L89" s="79" t="str">
        <f t="shared" si="8"/>
        <v/>
      </c>
      <c r="M89" s="29"/>
      <c r="N89" s="29"/>
      <c r="O89" s="29"/>
      <c r="P89" s="30"/>
      <c r="Q89" s="27"/>
      <c r="R89" s="80" t="str">
        <f t="shared" si="9"/>
        <v/>
      </c>
      <c r="S89" s="80" t="str">
        <f t="shared" si="10"/>
        <v/>
      </c>
      <c r="T89" s="80" t="str">
        <f t="shared" si="11"/>
        <v/>
      </c>
      <c r="U89" s="81" t="str">
        <f t="shared" si="12"/>
        <v/>
      </c>
      <c r="V89" s="27"/>
      <c r="W89" s="27"/>
      <c r="X89" s="27"/>
      <c r="Y89" s="82"/>
      <c r="Z89" s="83" t="str">
        <f t="shared" si="13"/>
        <v/>
      </c>
      <c r="AA89" s="80" t="str">
        <f t="shared" si="15"/>
        <v/>
      </c>
      <c r="AB89" s="81" t="str">
        <f t="shared" si="14"/>
        <v/>
      </c>
      <c r="AC89" s="27"/>
      <c r="AD89" s="27"/>
    </row>
    <row r="90" spans="1:30">
      <c r="A90" s="74">
        <f t="shared" si="0"/>
        <v>0</v>
      </c>
      <c r="B90" s="75" t="s">
        <v>60</v>
      </c>
      <c r="C90" s="76" t="s">
        <v>60</v>
      </c>
      <c r="D90" s="84" t="s">
        <v>60</v>
      </c>
      <c r="E90" s="77" t="str">
        <f t="shared" si="1"/>
        <v/>
      </c>
      <c r="F90" s="78" t="str">
        <f t="shared" si="2"/>
        <v/>
      </c>
      <c r="G90" s="78" t="str">
        <f t="shared" si="3"/>
        <v/>
      </c>
      <c r="H90" s="78" t="str">
        <f t="shared" si="4"/>
        <v/>
      </c>
      <c r="I90" s="78" t="str">
        <f t="shared" si="5"/>
        <v/>
      </c>
      <c r="J90" s="78" t="str">
        <f t="shared" si="6"/>
        <v/>
      </c>
      <c r="K90" s="78" t="str">
        <f t="shared" si="7"/>
        <v/>
      </c>
      <c r="L90" s="79" t="str">
        <f t="shared" si="8"/>
        <v/>
      </c>
      <c r="M90" s="29"/>
      <c r="N90" s="29"/>
      <c r="O90" s="29"/>
      <c r="P90" s="30"/>
      <c r="Q90" s="27"/>
      <c r="R90" s="80" t="str">
        <f t="shared" si="9"/>
        <v/>
      </c>
      <c r="S90" s="80" t="str">
        <f t="shared" si="10"/>
        <v/>
      </c>
      <c r="T90" s="80" t="str">
        <f t="shared" si="11"/>
        <v/>
      </c>
      <c r="U90" s="81" t="str">
        <f t="shared" si="12"/>
        <v/>
      </c>
      <c r="V90" s="27"/>
      <c r="W90" s="27"/>
      <c r="X90" s="27"/>
      <c r="Y90" s="82"/>
      <c r="Z90" s="83" t="str">
        <f t="shared" si="13"/>
        <v/>
      </c>
      <c r="AA90" s="80" t="str">
        <f t="shared" si="15"/>
        <v/>
      </c>
      <c r="AB90" s="81" t="str">
        <f t="shared" si="14"/>
        <v/>
      </c>
      <c r="AC90" s="27"/>
      <c r="AD90" s="27"/>
    </row>
    <row r="91" spans="1:30">
      <c r="A91" s="74">
        <f t="shared" si="0"/>
        <v>0</v>
      </c>
      <c r="B91" s="75" t="s">
        <v>60</v>
      </c>
      <c r="C91" s="76" t="s">
        <v>60</v>
      </c>
      <c r="D91" s="84" t="s">
        <v>60</v>
      </c>
      <c r="E91" s="77" t="str">
        <f t="shared" si="1"/>
        <v/>
      </c>
      <c r="F91" s="78" t="str">
        <f t="shared" si="2"/>
        <v/>
      </c>
      <c r="G91" s="78" t="str">
        <f t="shared" si="3"/>
        <v/>
      </c>
      <c r="H91" s="78" t="str">
        <f t="shared" si="4"/>
        <v/>
      </c>
      <c r="I91" s="78" t="str">
        <f t="shared" si="5"/>
        <v/>
      </c>
      <c r="J91" s="78" t="str">
        <f t="shared" si="6"/>
        <v/>
      </c>
      <c r="K91" s="78" t="str">
        <f t="shared" si="7"/>
        <v/>
      </c>
      <c r="L91" s="79" t="str">
        <f t="shared" si="8"/>
        <v/>
      </c>
      <c r="M91" s="29"/>
      <c r="N91" s="29"/>
      <c r="O91" s="29"/>
      <c r="P91" s="30"/>
      <c r="Q91" s="27"/>
      <c r="R91" s="80" t="str">
        <f t="shared" si="9"/>
        <v/>
      </c>
      <c r="S91" s="80" t="str">
        <f t="shared" si="10"/>
        <v/>
      </c>
      <c r="T91" s="80" t="str">
        <f t="shared" si="11"/>
        <v/>
      </c>
      <c r="U91" s="81" t="str">
        <f t="shared" si="12"/>
        <v/>
      </c>
      <c r="V91" s="27"/>
      <c r="W91" s="27"/>
      <c r="X91" s="27"/>
      <c r="Y91" s="82"/>
      <c r="Z91" s="83" t="str">
        <f t="shared" si="13"/>
        <v/>
      </c>
      <c r="AA91" s="80" t="str">
        <f t="shared" si="15"/>
        <v/>
      </c>
      <c r="AB91" s="81" t="str">
        <f t="shared" si="14"/>
        <v/>
      </c>
      <c r="AC91" s="27"/>
      <c r="AD91" s="27"/>
    </row>
    <row r="92" spans="1:30">
      <c r="A92" s="74">
        <f t="shared" si="0"/>
        <v>0</v>
      </c>
      <c r="B92" s="75" t="s">
        <v>60</v>
      </c>
      <c r="C92" s="76" t="s">
        <v>60</v>
      </c>
      <c r="D92" s="84" t="s">
        <v>60</v>
      </c>
      <c r="E92" s="77" t="str">
        <f t="shared" si="1"/>
        <v/>
      </c>
      <c r="F92" s="78" t="str">
        <f t="shared" si="2"/>
        <v/>
      </c>
      <c r="G92" s="78" t="str">
        <f t="shared" si="3"/>
        <v/>
      </c>
      <c r="H92" s="78" t="str">
        <f t="shared" si="4"/>
        <v/>
      </c>
      <c r="I92" s="78" t="str">
        <f t="shared" si="5"/>
        <v/>
      </c>
      <c r="J92" s="78" t="str">
        <f t="shared" si="6"/>
        <v/>
      </c>
      <c r="K92" s="78" t="str">
        <f t="shared" si="7"/>
        <v/>
      </c>
      <c r="L92" s="79" t="str">
        <f t="shared" si="8"/>
        <v/>
      </c>
      <c r="M92" s="29"/>
      <c r="N92" s="29"/>
      <c r="O92" s="29"/>
      <c r="P92" s="30"/>
      <c r="Q92" s="27"/>
      <c r="R92" s="80" t="str">
        <f t="shared" si="9"/>
        <v/>
      </c>
      <c r="S92" s="80" t="str">
        <f t="shared" si="10"/>
        <v/>
      </c>
      <c r="T92" s="80" t="str">
        <f t="shared" si="11"/>
        <v/>
      </c>
      <c r="U92" s="81" t="str">
        <f t="shared" si="12"/>
        <v/>
      </c>
      <c r="V92" s="27"/>
      <c r="W92" s="27"/>
      <c r="X92" s="27"/>
      <c r="Y92" s="82"/>
      <c r="Z92" s="83" t="str">
        <f t="shared" si="13"/>
        <v/>
      </c>
      <c r="AA92" s="80" t="str">
        <f t="shared" si="15"/>
        <v/>
      </c>
      <c r="AB92" s="81" t="str">
        <f t="shared" si="14"/>
        <v/>
      </c>
      <c r="AC92" s="27"/>
      <c r="AD92" s="27"/>
    </row>
    <row r="93" spans="1:30">
      <c r="A93" s="74">
        <f t="shared" si="0"/>
        <v>0</v>
      </c>
      <c r="B93" s="75" t="s">
        <v>60</v>
      </c>
      <c r="C93" s="76" t="s">
        <v>60</v>
      </c>
      <c r="D93" s="84" t="s">
        <v>60</v>
      </c>
      <c r="E93" s="77" t="str">
        <f t="shared" si="1"/>
        <v/>
      </c>
      <c r="F93" s="78" t="str">
        <f t="shared" si="2"/>
        <v/>
      </c>
      <c r="G93" s="78" t="str">
        <f t="shared" si="3"/>
        <v/>
      </c>
      <c r="H93" s="78" t="str">
        <f t="shared" si="4"/>
        <v/>
      </c>
      <c r="I93" s="78" t="str">
        <f t="shared" si="5"/>
        <v/>
      </c>
      <c r="J93" s="78" t="str">
        <f t="shared" si="6"/>
        <v/>
      </c>
      <c r="K93" s="78" t="str">
        <f t="shared" si="7"/>
        <v/>
      </c>
      <c r="L93" s="79" t="str">
        <f t="shared" si="8"/>
        <v/>
      </c>
      <c r="M93" s="29"/>
      <c r="N93" s="29"/>
      <c r="O93" s="29"/>
      <c r="P93" s="30"/>
      <c r="Q93" s="27"/>
      <c r="R93" s="80" t="str">
        <f t="shared" si="9"/>
        <v/>
      </c>
      <c r="S93" s="80" t="str">
        <f t="shared" si="10"/>
        <v/>
      </c>
      <c r="T93" s="80" t="str">
        <f t="shared" si="11"/>
        <v/>
      </c>
      <c r="U93" s="81" t="str">
        <f t="shared" si="12"/>
        <v/>
      </c>
      <c r="V93" s="27"/>
      <c r="W93" s="27"/>
      <c r="X93" s="27"/>
      <c r="Y93" s="82"/>
      <c r="Z93" s="83" t="str">
        <f t="shared" si="13"/>
        <v/>
      </c>
      <c r="AA93" s="80" t="str">
        <f t="shared" si="15"/>
        <v/>
      </c>
      <c r="AB93" s="81" t="str">
        <f t="shared" si="14"/>
        <v/>
      </c>
      <c r="AC93" s="27"/>
      <c r="AD93" s="27"/>
    </row>
    <row r="94" spans="1:30" ht="13" thickBot="1">
      <c r="A94" s="28"/>
      <c r="B94" s="85"/>
      <c r="C94" s="66"/>
      <c r="D94" s="67"/>
      <c r="E94" s="68"/>
      <c r="F94" s="86"/>
      <c r="G94" s="86"/>
      <c r="H94" s="86"/>
      <c r="I94" s="86"/>
      <c r="J94" s="69"/>
      <c r="K94" s="69"/>
      <c r="L94" s="72"/>
      <c r="M94" s="29"/>
      <c r="N94" s="29"/>
      <c r="O94" s="29"/>
      <c r="P94" s="30"/>
      <c r="Q94" s="27"/>
      <c r="R94" s="69"/>
      <c r="S94" s="69"/>
      <c r="T94" s="69"/>
      <c r="U94" s="72"/>
      <c r="V94" s="27"/>
      <c r="W94" s="27"/>
      <c r="X94" s="27"/>
      <c r="Y94" s="27"/>
      <c r="Z94" s="87"/>
      <c r="AA94" s="87"/>
      <c r="AB94" s="88"/>
      <c r="AC94" s="27"/>
      <c r="AD94" s="27"/>
    </row>
    <row r="95" spans="1:30" ht="13" thickBot="1">
      <c r="A95" s="28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30"/>
      <c r="Q95" s="29"/>
      <c r="R95" s="29"/>
      <c r="S95" s="29"/>
      <c r="T95" s="29"/>
      <c r="U95" s="29"/>
      <c r="V95" s="27"/>
      <c r="W95" s="29"/>
      <c r="X95" s="29"/>
      <c r="Y95" s="27"/>
      <c r="Z95" s="27"/>
      <c r="AA95" s="27"/>
      <c r="AB95" s="27"/>
      <c r="AC95" s="27"/>
      <c r="AD95" s="27"/>
    </row>
    <row r="96" spans="1:30" ht="13" thickBot="1">
      <c r="A96" s="74">
        <f>SUM(A34:A93)</f>
        <v>51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30"/>
      <c r="Q96" s="29"/>
      <c r="R96" s="29"/>
      <c r="S96" s="29"/>
      <c r="T96" s="29"/>
      <c r="U96" s="29"/>
      <c r="V96" s="29"/>
      <c r="W96" s="29"/>
      <c r="X96" s="29"/>
      <c r="Y96" s="27"/>
      <c r="Z96" s="31" t="s">
        <v>23</v>
      </c>
      <c r="AA96" s="27"/>
      <c r="AB96" s="31" t="s">
        <v>25</v>
      </c>
      <c r="AC96" s="27"/>
      <c r="AD96" s="27"/>
    </row>
    <row r="97" spans="1:30" ht="13" thickBot="1">
      <c r="A97" s="89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1"/>
      <c r="Q97" s="27"/>
      <c r="R97" s="27"/>
      <c r="S97" s="27"/>
      <c r="T97" s="27"/>
      <c r="U97" s="27"/>
      <c r="V97" s="27"/>
      <c r="W97" s="27"/>
      <c r="X97" s="27"/>
      <c r="Y97" s="92" t="s">
        <v>54</v>
      </c>
      <c r="Z97" s="116">
        <f>SUM(Z34:Z93)</f>
        <v>0.11204945332592821</v>
      </c>
      <c r="AA97" s="117" t="s">
        <v>54</v>
      </c>
      <c r="AB97" s="116">
        <f>SUM(AB34:AB93)</f>
        <v>1.2697121227217574E-6</v>
      </c>
      <c r="AC97" s="27"/>
      <c r="AD97" s="27"/>
    </row>
    <row r="98" spans="1:30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</row>
    <row r="99" spans="1:30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</row>
    <row r="100" spans="1:30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</row>
    <row r="101" spans="1:30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</row>
    <row r="102" spans="1:30" ht="13" thickBo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</row>
    <row r="103" spans="1:30">
      <c r="A103" s="27"/>
      <c r="B103" s="27"/>
      <c r="C103" s="27"/>
      <c r="D103" s="47"/>
      <c r="E103" s="52"/>
      <c r="F103" s="52"/>
      <c r="G103" s="52"/>
      <c r="H103" s="52"/>
      <c r="I103" s="52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</row>
    <row r="104" spans="1:30">
      <c r="A104" s="27"/>
      <c r="B104" s="27"/>
      <c r="C104" s="27"/>
      <c r="D104" s="94" t="s">
        <v>64</v>
      </c>
      <c r="E104" s="95" t="s">
        <v>65</v>
      </c>
      <c r="F104" s="95" t="s">
        <v>66</v>
      </c>
      <c r="G104" s="95" t="s">
        <v>67</v>
      </c>
      <c r="H104" s="95" t="s">
        <v>68</v>
      </c>
      <c r="I104" s="95" t="s">
        <v>69</v>
      </c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</row>
    <row r="105" spans="1:30" ht="13" thickBot="1">
      <c r="A105" s="27"/>
      <c r="B105" s="27"/>
      <c r="C105" s="27"/>
      <c r="D105" s="59"/>
      <c r="E105" s="64"/>
      <c r="F105" s="64"/>
      <c r="G105" s="64"/>
      <c r="H105" s="64"/>
      <c r="I105" s="64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</row>
    <row r="106" spans="1:30">
      <c r="A106" s="27"/>
      <c r="B106" s="27"/>
      <c r="C106" s="27"/>
      <c r="D106" s="73"/>
      <c r="E106" s="73"/>
      <c r="F106" s="73"/>
      <c r="G106" s="73"/>
      <c r="H106" s="73"/>
      <c r="I106" s="70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</row>
    <row r="107" spans="1:30">
      <c r="A107" s="27"/>
      <c r="B107" s="27"/>
      <c r="C107" s="27"/>
      <c r="D107" s="96">
        <f>SUM(C34:C93)</f>
        <v>25.500999999999998</v>
      </c>
      <c r="E107" s="96">
        <f>SUM(E34:E93)</f>
        <v>17.170000999999999</v>
      </c>
      <c r="F107" s="96">
        <f>SUM(F34:F93)</f>
        <v>13.005000001000001</v>
      </c>
      <c r="G107" s="96">
        <f>SUM(G34:G93)</f>
        <v>10.506666400001</v>
      </c>
      <c r="H107" s="96">
        <f>SUM(H34:H93)</f>
        <v>8.841666</v>
      </c>
      <c r="I107" s="118">
        <f>SUM(I34:I93)</f>
        <v>7.6528558096000001</v>
      </c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</row>
    <row r="108" spans="1:30">
      <c r="A108" s="27"/>
      <c r="B108" s="27"/>
      <c r="C108" s="27"/>
      <c r="D108" s="87"/>
      <c r="E108" s="87"/>
      <c r="F108" s="87"/>
      <c r="G108" s="87"/>
      <c r="H108" s="87"/>
      <c r="I108" s="88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</row>
    <row r="109" spans="1:30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</row>
    <row r="110" spans="1:30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</row>
    <row r="111" spans="1:30" ht="13" thickBo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</row>
    <row r="112" spans="1:30">
      <c r="A112" s="27"/>
      <c r="B112" s="27"/>
      <c r="C112" s="27"/>
      <c r="D112" s="27"/>
      <c r="E112" s="47"/>
      <c r="F112" s="52"/>
      <c r="G112" s="52"/>
      <c r="H112" s="52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</row>
    <row r="113" spans="1:35">
      <c r="A113" s="27"/>
      <c r="B113" s="27"/>
      <c r="C113" s="27"/>
      <c r="D113" s="27"/>
      <c r="E113" s="94" t="s">
        <v>76</v>
      </c>
      <c r="F113" s="95" t="s">
        <v>77</v>
      </c>
      <c r="G113" s="95" t="s">
        <v>78</v>
      </c>
      <c r="H113" s="95" t="s">
        <v>79</v>
      </c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</row>
    <row r="114" spans="1:35" ht="13" thickBot="1">
      <c r="A114" s="27"/>
      <c r="B114" s="27"/>
      <c r="C114" s="27"/>
      <c r="D114" s="27"/>
      <c r="E114" s="59"/>
      <c r="F114" s="64"/>
      <c r="G114" s="64"/>
      <c r="H114" s="64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</row>
    <row r="115" spans="1:35">
      <c r="A115" s="27"/>
      <c r="B115" s="27"/>
      <c r="C115" s="27"/>
      <c r="D115" s="27"/>
      <c r="E115" s="73"/>
      <c r="F115" s="73"/>
      <c r="G115" s="73"/>
      <c r="H115" s="70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</row>
    <row r="116" spans="1:35">
      <c r="A116" s="27"/>
      <c r="B116" s="27"/>
      <c r="C116" s="27"/>
      <c r="D116" s="27"/>
      <c r="E116" s="97">
        <f>SUM(R34:R93)</f>
        <v>4.8346181099831185</v>
      </c>
      <c r="F116" s="97">
        <f>SUM(S34:S93)</f>
        <v>3.1122019014054407</v>
      </c>
      <c r="G116" s="97">
        <f>SUM(T34:T93)</f>
        <v>2.2933309908159658</v>
      </c>
      <c r="H116" s="98">
        <f>SUM(U34:U93)</f>
        <v>1.8190004934085497</v>
      </c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</row>
    <row r="117" spans="1:35">
      <c r="A117" s="27"/>
      <c r="B117" s="27"/>
      <c r="C117" s="27"/>
      <c r="D117" s="27"/>
      <c r="E117" s="87"/>
      <c r="F117" s="87"/>
      <c r="G117" s="87"/>
      <c r="H117" s="88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</row>
    <row r="118" spans="1:3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</row>
    <row r="119" spans="1:3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</row>
    <row r="120" spans="1:35" ht="13" thickBo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</row>
    <row r="121" spans="1:35">
      <c r="A121" s="27"/>
      <c r="B121" s="27"/>
      <c r="C121" s="27"/>
      <c r="D121" s="27"/>
      <c r="E121" s="47"/>
      <c r="F121" s="47"/>
      <c r="G121" s="52"/>
      <c r="H121" s="52"/>
      <c r="I121" s="52"/>
      <c r="J121" s="27"/>
      <c r="K121" s="27"/>
      <c r="L121" s="27"/>
      <c r="M121" s="27"/>
      <c r="N121" s="27"/>
      <c r="O121" s="27"/>
      <c r="P121" s="27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</row>
    <row r="122" spans="1:35">
      <c r="A122" s="27"/>
      <c r="B122" s="27"/>
      <c r="C122" s="27"/>
      <c r="D122" s="27"/>
      <c r="E122" s="53" t="s">
        <v>55</v>
      </c>
      <c r="F122" s="53" t="s">
        <v>22</v>
      </c>
      <c r="G122" s="58" t="s">
        <v>24</v>
      </c>
      <c r="H122" s="58" t="s">
        <v>26</v>
      </c>
      <c r="I122" s="58" t="s">
        <v>28</v>
      </c>
      <c r="J122" s="27"/>
      <c r="K122" s="27"/>
      <c r="L122" s="27"/>
      <c r="M122" s="27"/>
      <c r="N122" s="27"/>
      <c r="O122" s="27"/>
      <c r="P122" s="27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</row>
    <row r="123" spans="1:35" ht="13" thickBot="1">
      <c r="A123" s="27"/>
      <c r="B123" s="27"/>
      <c r="C123" s="27"/>
      <c r="D123" s="27"/>
      <c r="E123" s="59"/>
      <c r="F123" s="59"/>
      <c r="G123" s="64"/>
      <c r="H123" s="64"/>
      <c r="I123" s="64"/>
      <c r="J123" s="27"/>
      <c r="K123" s="27"/>
      <c r="L123" s="27"/>
      <c r="M123" s="27"/>
      <c r="N123" s="27"/>
      <c r="O123" s="27"/>
      <c r="P123" s="27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</row>
    <row r="124" spans="1:35">
      <c r="A124" s="27"/>
      <c r="B124" s="27"/>
      <c r="C124" s="27"/>
      <c r="D124" s="27"/>
      <c r="E124" s="100"/>
      <c r="F124" s="101"/>
      <c r="G124" s="73"/>
      <c r="H124" s="73"/>
      <c r="I124" s="70"/>
      <c r="J124" s="27"/>
      <c r="K124" s="13"/>
      <c r="L124" s="29"/>
      <c r="M124" s="27"/>
      <c r="N124" s="27"/>
      <c r="O124" s="27"/>
      <c r="P124" s="27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</row>
    <row r="125" spans="1:35">
      <c r="A125" s="27"/>
      <c r="B125" s="27"/>
      <c r="C125" s="27"/>
      <c r="D125" s="27"/>
      <c r="E125" s="53">
        <v>1</v>
      </c>
      <c r="F125" s="102">
        <f>D8</f>
        <v>51</v>
      </c>
      <c r="G125" s="103">
        <f>D107</f>
        <v>25.500999999999998</v>
      </c>
      <c r="H125" s="103">
        <f>E107</f>
        <v>17.170000999999999</v>
      </c>
      <c r="I125" s="104">
        <f>F107</f>
        <v>13.005000001000001</v>
      </c>
      <c r="J125" s="27"/>
      <c r="K125" s="105">
        <f>E116</f>
        <v>4.8346181099831185</v>
      </c>
      <c r="L125" s="106" t="s">
        <v>76</v>
      </c>
      <c r="M125" s="27"/>
      <c r="N125" s="27"/>
      <c r="O125" s="27"/>
      <c r="P125" s="27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</row>
    <row r="126" spans="1:35">
      <c r="A126" s="27"/>
      <c r="B126" s="27"/>
      <c r="C126" s="27"/>
      <c r="D126" s="27"/>
      <c r="E126" s="53">
        <v>2</v>
      </c>
      <c r="F126" s="107">
        <f>D107</f>
        <v>25.500999999999998</v>
      </c>
      <c r="G126" s="103">
        <f>E107</f>
        <v>17.170000999999999</v>
      </c>
      <c r="H126" s="103">
        <f>F107</f>
        <v>13.005000001000001</v>
      </c>
      <c r="I126" s="104">
        <f>G107</f>
        <v>10.506666400001</v>
      </c>
      <c r="J126" s="27"/>
      <c r="K126" s="105">
        <f>F116</f>
        <v>3.1122019014054407</v>
      </c>
      <c r="L126" s="106" t="s">
        <v>77</v>
      </c>
      <c r="M126" s="27"/>
      <c r="N126" s="27"/>
      <c r="O126" s="27"/>
      <c r="P126" s="27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</row>
    <row r="127" spans="1:35">
      <c r="A127" s="27"/>
      <c r="B127" s="27"/>
      <c r="C127" s="27"/>
      <c r="D127" s="27"/>
      <c r="E127" s="53">
        <v>3</v>
      </c>
      <c r="F127" s="107">
        <f>E107</f>
        <v>17.170000999999999</v>
      </c>
      <c r="G127" s="103">
        <f>F107</f>
        <v>13.005000001000001</v>
      </c>
      <c r="H127" s="103">
        <f>G107</f>
        <v>10.506666400001</v>
      </c>
      <c r="I127" s="104">
        <f>H107</f>
        <v>8.841666</v>
      </c>
      <c r="J127" s="27" t="s">
        <v>56</v>
      </c>
      <c r="K127" s="105">
        <f>G116</f>
        <v>2.2933309908159658</v>
      </c>
      <c r="L127" s="106" t="s">
        <v>78</v>
      </c>
      <c r="M127" s="27"/>
      <c r="N127" s="27"/>
      <c r="O127" s="27"/>
      <c r="P127" s="27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</row>
    <row r="128" spans="1:35">
      <c r="A128" s="27"/>
      <c r="B128" s="27"/>
      <c r="C128" s="27"/>
      <c r="D128" s="27"/>
      <c r="E128" s="53">
        <v>4</v>
      </c>
      <c r="F128" s="107">
        <f>F107</f>
        <v>13.005000001000001</v>
      </c>
      <c r="G128" s="103">
        <f>G107</f>
        <v>10.506666400001</v>
      </c>
      <c r="H128" s="103">
        <f>H107</f>
        <v>8.841666</v>
      </c>
      <c r="I128" s="104">
        <f>I107</f>
        <v>7.6528558096000001</v>
      </c>
      <c r="J128" s="27"/>
      <c r="K128" s="105">
        <f>H116</f>
        <v>1.8190004934085497</v>
      </c>
      <c r="L128" s="106" t="s">
        <v>79</v>
      </c>
      <c r="M128" s="27"/>
      <c r="N128" s="27"/>
      <c r="O128" s="27"/>
      <c r="P128" s="27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  <c r="AI128" s="99"/>
    </row>
    <row r="129" spans="1:35" ht="13" thickBot="1">
      <c r="A129" s="27"/>
      <c r="B129" s="27"/>
      <c r="C129" s="27"/>
      <c r="D129" s="27"/>
      <c r="E129" s="59"/>
      <c r="F129" s="108"/>
      <c r="G129" s="109"/>
      <c r="H129" s="109"/>
      <c r="I129" s="110"/>
      <c r="J129" s="27"/>
      <c r="K129" s="13"/>
      <c r="L129" s="29"/>
      <c r="M129" s="27"/>
      <c r="N129" s="27"/>
      <c r="O129" s="27"/>
      <c r="P129" s="27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</row>
    <row r="130" spans="1:3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</row>
    <row r="131" spans="1:3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</row>
    <row r="132" spans="1:3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I132" s="99"/>
    </row>
    <row r="133" spans="1:3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</row>
    <row r="134" spans="1:35">
      <c r="A134" s="27"/>
      <c r="B134" s="27"/>
      <c r="C134" s="27"/>
      <c r="D134" s="111" t="s">
        <v>83</v>
      </c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I134" s="99"/>
    </row>
    <row r="135" spans="1:3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</row>
    <row r="136" spans="1:3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</row>
    <row r="137" spans="1:35">
      <c r="A137" s="27"/>
      <c r="B137" s="27"/>
      <c r="C137" s="27"/>
      <c r="D137" s="27"/>
      <c r="E137" s="27"/>
      <c r="F137" s="27"/>
      <c r="G137" s="112" t="s">
        <v>58</v>
      </c>
      <c r="H137" s="27"/>
      <c r="I137" s="27"/>
      <c r="J137" s="27"/>
      <c r="K137" s="27"/>
      <c r="L137" s="27"/>
      <c r="M137" s="27"/>
      <c r="N137" s="27"/>
      <c r="O137" s="27"/>
      <c r="P137" s="27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</row>
    <row r="138" spans="1:3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</row>
    <row r="139" spans="1:35">
      <c r="A139" s="27"/>
      <c r="B139" s="27"/>
      <c r="C139" s="27"/>
      <c r="D139" s="27"/>
      <c r="E139" s="27"/>
      <c r="F139" s="13"/>
      <c r="G139" s="13"/>
      <c r="H139" s="13"/>
      <c r="I139" s="13"/>
      <c r="J139" s="27"/>
      <c r="K139" s="13"/>
      <c r="L139" s="27"/>
      <c r="M139" s="13"/>
      <c r="N139" s="27"/>
      <c r="O139" s="27"/>
      <c r="P139" s="27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</row>
    <row r="140" spans="1:35">
      <c r="A140" s="27"/>
      <c r="B140" s="27"/>
      <c r="C140" s="27"/>
      <c r="D140" s="27"/>
      <c r="E140" s="27"/>
      <c r="F140" s="113">
        <f t="array" ref="F140:I143">MINVERSE(F125:I128)</f>
        <v>0.27287562556159872</v>
      </c>
      <c r="G140" s="113">
        <v>-2.0261591306431841</v>
      </c>
      <c r="H140" s="113">
        <v>4.0128393064453149</v>
      </c>
      <c r="I140" s="113">
        <v>-2.3181874521566082</v>
      </c>
      <c r="J140" s="27"/>
      <c r="K140" s="105">
        <f>K125</f>
        <v>4.8346181099831185</v>
      </c>
      <c r="L140" s="27"/>
      <c r="M140" s="114">
        <f t="array" ref="M140:M143">MMULT(F140:I143,K140:K143)</f>
        <v>-5.8223447552485652E-4</v>
      </c>
      <c r="N140" s="112" t="s">
        <v>22</v>
      </c>
      <c r="O140" s="27"/>
      <c r="P140" s="27"/>
      <c r="Q140" s="115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</row>
    <row r="141" spans="1:35">
      <c r="A141" s="27"/>
      <c r="B141" s="27"/>
      <c r="C141" s="27"/>
      <c r="D141" s="27"/>
      <c r="E141" s="27"/>
      <c r="F141" s="113">
        <v>-2.0261591306432094</v>
      </c>
      <c r="G141" s="113">
        <v>20.87561279614998</v>
      </c>
      <c r="H141" s="113">
        <v>-47.122074898769938</v>
      </c>
      <c r="I141" s="113">
        <v>29.225004756087095</v>
      </c>
      <c r="J141" s="27"/>
      <c r="K141" s="105">
        <f>K126</f>
        <v>3.1122019014054407</v>
      </c>
      <c r="L141" s="27"/>
      <c r="M141" s="114">
        <v>0.26719956475582762</v>
      </c>
      <c r="N141" s="112" t="s">
        <v>24</v>
      </c>
      <c r="O141" s="27"/>
      <c r="P141" s="27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</row>
    <row r="142" spans="1:35">
      <c r="A142" s="27"/>
      <c r="B142" s="27"/>
      <c r="C142" s="27"/>
      <c r="D142" s="27"/>
      <c r="E142" s="27"/>
      <c r="F142" s="113">
        <v>4.0128393064453887</v>
      </c>
      <c r="G142" s="113">
        <v>-47.122074898770244</v>
      </c>
      <c r="H142" s="113">
        <v>113.92368502673426</v>
      </c>
      <c r="I142" s="113">
        <v>-73.745833017619503</v>
      </c>
      <c r="J142" s="27" t="s">
        <v>59</v>
      </c>
      <c r="K142" s="105">
        <f>K127</f>
        <v>2.2933309908159658</v>
      </c>
      <c r="L142" s="27" t="s">
        <v>56</v>
      </c>
      <c r="M142" s="114">
        <v>-0.13185470083729456</v>
      </c>
      <c r="N142" s="112" t="s">
        <v>26</v>
      </c>
      <c r="O142" s="27"/>
      <c r="P142" s="27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I142" s="99"/>
    </row>
    <row r="143" spans="1:35">
      <c r="A143" s="27"/>
      <c r="B143" s="27"/>
      <c r="C143" s="27"/>
      <c r="D143" s="27"/>
      <c r="E143" s="27"/>
      <c r="F143" s="113">
        <v>-2.3181874521566703</v>
      </c>
      <c r="G143" s="113">
        <v>29.225004756087412</v>
      </c>
      <c r="H143" s="113">
        <v>-73.745833017619773</v>
      </c>
      <c r="I143" s="113">
        <v>49.148538284061615</v>
      </c>
      <c r="J143" s="27"/>
      <c r="K143" s="105">
        <f>K128</f>
        <v>1.8190004934085497</v>
      </c>
      <c r="L143" s="27"/>
      <c r="M143" s="114">
        <v>2.4175418116385572E-2</v>
      </c>
      <c r="N143" s="112" t="s">
        <v>28</v>
      </c>
      <c r="O143" s="27"/>
      <c r="P143" s="27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I143" s="99"/>
    </row>
    <row r="144" spans="1:35">
      <c r="A144" s="27"/>
      <c r="B144" s="27"/>
      <c r="C144" s="27"/>
      <c r="D144" s="27"/>
      <c r="E144" s="27"/>
      <c r="F144" s="13"/>
      <c r="G144" s="13"/>
      <c r="H144" s="13"/>
      <c r="I144" s="13"/>
      <c r="J144" s="27"/>
      <c r="K144" s="13"/>
      <c r="L144" s="27"/>
      <c r="M144" s="13"/>
      <c r="N144" s="27"/>
      <c r="O144" s="27"/>
      <c r="P144" s="27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  <c r="AI144" s="99"/>
    </row>
    <row r="145" spans="1:3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  <c r="AI145" s="99"/>
    </row>
    <row r="146" spans="1:3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</row>
    <row r="147" spans="1:3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</row>
    <row r="148" spans="1:3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  <c r="AI148" s="99"/>
    </row>
    <row r="149" spans="1:35"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99"/>
      <c r="AE149" s="99"/>
      <c r="AF149" s="99"/>
      <c r="AG149" s="99"/>
      <c r="AH149" s="99"/>
      <c r="AI149" s="99"/>
    </row>
    <row r="150" spans="1:35"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99"/>
    </row>
    <row r="151" spans="1:35"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</row>
    <row r="152" spans="1:35"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  <c r="AD152" s="99"/>
      <c r="AE152" s="99"/>
      <c r="AF152" s="99"/>
      <c r="AG152" s="99"/>
      <c r="AH152" s="99"/>
      <c r="AI152" s="99"/>
    </row>
  </sheetData>
  <pageMargins left="0.25" right="0.25" top="0.75" bottom="0.4" header="0.5" footer="0.5"/>
  <pageSetup scale="70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AI158"/>
  <sheetViews>
    <sheetView showRuler="0" zoomScale="75" workbookViewId="0">
      <selection activeCell="D8" sqref="D8"/>
    </sheetView>
  </sheetViews>
  <sheetFormatPr baseColWidth="10" defaultColWidth="8.83203125" defaultRowHeight="12" x14ac:dyDescent="0"/>
  <cols>
    <col min="1" max="1" width="8.83203125" style="14"/>
    <col min="2" max="3" width="10.6640625" style="14" customWidth="1"/>
    <col min="4" max="4" width="18.6640625" style="14" customWidth="1"/>
    <col min="5" max="6" width="10.6640625" style="14" customWidth="1"/>
    <col min="7" max="7" width="18.33203125" style="14" customWidth="1"/>
    <col min="8" max="8" width="10.6640625" style="14" customWidth="1"/>
    <col min="9" max="9" width="13.33203125" style="14" bestFit="1" customWidth="1"/>
    <col min="10" max="10" width="12.1640625" style="14" customWidth="1"/>
    <col min="11" max="11" width="12.83203125" style="14" customWidth="1"/>
    <col min="12" max="12" width="12.1640625" style="14" customWidth="1"/>
    <col min="13" max="15" width="13.5" style="14" customWidth="1"/>
    <col min="16" max="17" width="12.1640625" style="14" customWidth="1"/>
    <col min="18" max="25" width="8.83203125" style="14"/>
    <col min="26" max="26" width="10.5" style="14" bestFit="1" customWidth="1"/>
    <col min="27" max="28" width="8.83203125" style="14"/>
    <col min="29" max="29" width="14" style="14" customWidth="1"/>
    <col min="30" max="257" width="8.83203125" style="14"/>
    <col min="258" max="259" width="10.6640625" style="14" customWidth="1"/>
    <col min="260" max="260" width="30.6640625" style="14" customWidth="1"/>
    <col min="261" max="264" width="10.6640625" style="14" customWidth="1"/>
    <col min="265" max="265" width="13.33203125" style="14" bestFit="1" customWidth="1"/>
    <col min="266" max="266" width="12.1640625" style="14" customWidth="1"/>
    <col min="267" max="267" width="12.83203125" style="14" customWidth="1"/>
    <col min="268" max="268" width="12.1640625" style="14" customWidth="1"/>
    <col min="269" max="271" width="13.5" style="14" customWidth="1"/>
    <col min="272" max="273" width="12.1640625" style="14" customWidth="1"/>
    <col min="274" max="281" width="8.83203125" style="14"/>
    <col min="282" max="282" width="10.5" style="14" bestFit="1" customWidth="1"/>
    <col min="283" max="284" width="8.83203125" style="14"/>
    <col min="285" max="285" width="14" style="14" customWidth="1"/>
    <col min="286" max="513" width="8.83203125" style="14"/>
    <col min="514" max="515" width="10.6640625" style="14" customWidth="1"/>
    <col min="516" max="516" width="30.6640625" style="14" customWidth="1"/>
    <col min="517" max="520" width="10.6640625" style="14" customWidth="1"/>
    <col min="521" max="521" width="13.33203125" style="14" bestFit="1" customWidth="1"/>
    <col min="522" max="522" width="12.1640625" style="14" customWidth="1"/>
    <col min="523" max="523" width="12.83203125" style="14" customWidth="1"/>
    <col min="524" max="524" width="12.1640625" style="14" customWidth="1"/>
    <col min="525" max="527" width="13.5" style="14" customWidth="1"/>
    <col min="528" max="529" width="12.1640625" style="14" customWidth="1"/>
    <col min="530" max="537" width="8.83203125" style="14"/>
    <col min="538" max="538" width="10.5" style="14" bestFit="1" customWidth="1"/>
    <col min="539" max="540" width="8.83203125" style="14"/>
    <col min="541" max="541" width="14" style="14" customWidth="1"/>
    <col min="542" max="769" width="8.83203125" style="14"/>
    <col min="770" max="771" width="10.6640625" style="14" customWidth="1"/>
    <col min="772" max="772" width="30.6640625" style="14" customWidth="1"/>
    <col min="773" max="776" width="10.6640625" style="14" customWidth="1"/>
    <col min="777" max="777" width="13.33203125" style="14" bestFit="1" customWidth="1"/>
    <col min="778" max="778" width="12.1640625" style="14" customWidth="1"/>
    <col min="779" max="779" width="12.83203125" style="14" customWidth="1"/>
    <col min="780" max="780" width="12.1640625" style="14" customWidth="1"/>
    <col min="781" max="783" width="13.5" style="14" customWidth="1"/>
    <col min="784" max="785" width="12.1640625" style="14" customWidth="1"/>
    <col min="786" max="793" width="8.83203125" style="14"/>
    <col min="794" max="794" width="10.5" style="14" bestFit="1" customWidth="1"/>
    <col min="795" max="796" width="8.83203125" style="14"/>
    <col min="797" max="797" width="14" style="14" customWidth="1"/>
    <col min="798" max="1025" width="8.83203125" style="14"/>
    <col min="1026" max="1027" width="10.6640625" style="14" customWidth="1"/>
    <col min="1028" max="1028" width="30.6640625" style="14" customWidth="1"/>
    <col min="1029" max="1032" width="10.6640625" style="14" customWidth="1"/>
    <col min="1033" max="1033" width="13.33203125" style="14" bestFit="1" customWidth="1"/>
    <col min="1034" max="1034" width="12.1640625" style="14" customWidth="1"/>
    <col min="1035" max="1035" width="12.83203125" style="14" customWidth="1"/>
    <col min="1036" max="1036" width="12.1640625" style="14" customWidth="1"/>
    <col min="1037" max="1039" width="13.5" style="14" customWidth="1"/>
    <col min="1040" max="1041" width="12.1640625" style="14" customWidth="1"/>
    <col min="1042" max="1049" width="8.83203125" style="14"/>
    <col min="1050" max="1050" width="10.5" style="14" bestFit="1" customWidth="1"/>
    <col min="1051" max="1052" width="8.83203125" style="14"/>
    <col min="1053" max="1053" width="14" style="14" customWidth="1"/>
    <col min="1054" max="1281" width="8.83203125" style="14"/>
    <col min="1282" max="1283" width="10.6640625" style="14" customWidth="1"/>
    <col min="1284" max="1284" width="30.6640625" style="14" customWidth="1"/>
    <col min="1285" max="1288" width="10.6640625" style="14" customWidth="1"/>
    <col min="1289" max="1289" width="13.33203125" style="14" bestFit="1" customWidth="1"/>
    <col min="1290" max="1290" width="12.1640625" style="14" customWidth="1"/>
    <col min="1291" max="1291" width="12.83203125" style="14" customWidth="1"/>
    <col min="1292" max="1292" width="12.1640625" style="14" customWidth="1"/>
    <col min="1293" max="1295" width="13.5" style="14" customWidth="1"/>
    <col min="1296" max="1297" width="12.1640625" style="14" customWidth="1"/>
    <col min="1298" max="1305" width="8.83203125" style="14"/>
    <col min="1306" max="1306" width="10.5" style="14" bestFit="1" customWidth="1"/>
    <col min="1307" max="1308" width="8.83203125" style="14"/>
    <col min="1309" max="1309" width="14" style="14" customWidth="1"/>
    <col min="1310" max="1537" width="8.83203125" style="14"/>
    <col min="1538" max="1539" width="10.6640625" style="14" customWidth="1"/>
    <col min="1540" max="1540" width="30.6640625" style="14" customWidth="1"/>
    <col min="1541" max="1544" width="10.6640625" style="14" customWidth="1"/>
    <col min="1545" max="1545" width="13.33203125" style="14" bestFit="1" customWidth="1"/>
    <col min="1546" max="1546" width="12.1640625" style="14" customWidth="1"/>
    <col min="1547" max="1547" width="12.83203125" style="14" customWidth="1"/>
    <col min="1548" max="1548" width="12.1640625" style="14" customWidth="1"/>
    <col min="1549" max="1551" width="13.5" style="14" customWidth="1"/>
    <col min="1552" max="1553" width="12.1640625" style="14" customWidth="1"/>
    <col min="1554" max="1561" width="8.83203125" style="14"/>
    <col min="1562" max="1562" width="10.5" style="14" bestFit="1" customWidth="1"/>
    <col min="1563" max="1564" width="8.83203125" style="14"/>
    <col min="1565" max="1565" width="14" style="14" customWidth="1"/>
    <col min="1566" max="1793" width="8.83203125" style="14"/>
    <col min="1794" max="1795" width="10.6640625" style="14" customWidth="1"/>
    <col min="1796" max="1796" width="30.6640625" style="14" customWidth="1"/>
    <col min="1797" max="1800" width="10.6640625" style="14" customWidth="1"/>
    <col min="1801" max="1801" width="13.33203125" style="14" bestFit="1" customWidth="1"/>
    <col min="1802" max="1802" width="12.1640625" style="14" customWidth="1"/>
    <col min="1803" max="1803" width="12.83203125" style="14" customWidth="1"/>
    <col min="1804" max="1804" width="12.1640625" style="14" customWidth="1"/>
    <col min="1805" max="1807" width="13.5" style="14" customWidth="1"/>
    <col min="1808" max="1809" width="12.1640625" style="14" customWidth="1"/>
    <col min="1810" max="1817" width="8.83203125" style="14"/>
    <col min="1818" max="1818" width="10.5" style="14" bestFit="1" customWidth="1"/>
    <col min="1819" max="1820" width="8.83203125" style="14"/>
    <col min="1821" max="1821" width="14" style="14" customWidth="1"/>
    <col min="1822" max="2049" width="8.83203125" style="14"/>
    <col min="2050" max="2051" width="10.6640625" style="14" customWidth="1"/>
    <col min="2052" max="2052" width="30.6640625" style="14" customWidth="1"/>
    <col min="2053" max="2056" width="10.6640625" style="14" customWidth="1"/>
    <col min="2057" max="2057" width="13.33203125" style="14" bestFit="1" customWidth="1"/>
    <col min="2058" max="2058" width="12.1640625" style="14" customWidth="1"/>
    <col min="2059" max="2059" width="12.83203125" style="14" customWidth="1"/>
    <col min="2060" max="2060" width="12.1640625" style="14" customWidth="1"/>
    <col min="2061" max="2063" width="13.5" style="14" customWidth="1"/>
    <col min="2064" max="2065" width="12.1640625" style="14" customWidth="1"/>
    <col min="2066" max="2073" width="8.83203125" style="14"/>
    <col min="2074" max="2074" width="10.5" style="14" bestFit="1" customWidth="1"/>
    <col min="2075" max="2076" width="8.83203125" style="14"/>
    <col min="2077" max="2077" width="14" style="14" customWidth="1"/>
    <col min="2078" max="2305" width="8.83203125" style="14"/>
    <col min="2306" max="2307" width="10.6640625" style="14" customWidth="1"/>
    <col min="2308" max="2308" width="30.6640625" style="14" customWidth="1"/>
    <col min="2309" max="2312" width="10.6640625" style="14" customWidth="1"/>
    <col min="2313" max="2313" width="13.33203125" style="14" bestFit="1" customWidth="1"/>
    <col min="2314" max="2314" width="12.1640625" style="14" customWidth="1"/>
    <col min="2315" max="2315" width="12.83203125" style="14" customWidth="1"/>
    <col min="2316" max="2316" width="12.1640625" style="14" customWidth="1"/>
    <col min="2317" max="2319" width="13.5" style="14" customWidth="1"/>
    <col min="2320" max="2321" width="12.1640625" style="14" customWidth="1"/>
    <col min="2322" max="2329" width="8.83203125" style="14"/>
    <col min="2330" max="2330" width="10.5" style="14" bestFit="1" customWidth="1"/>
    <col min="2331" max="2332" width="8.83203125" style="14"/>
    <col min="2333" max="2333" width="14" style="14" customWidth="1"/>
    <col min="2334" max="2561" width="8.83203125" style="14"/>
    <col min="2562" max="2563" width="10.6640625" style="14" customWidth="1"/>
    <col min="2564" max="2564" width="30.6640625" style="14" customWidth="1"/>
    <col min="2565" max="2568" width="10.6640625" style="14" customWidth="1"/>
    <col min="2569" max="2569" width="13.33203125" style="14" bestFit="1" customWidth="1"/>
    <col min="2570" max="2570" width="12.1640625" style="14" customWidth="1"/>
    <col min="2571" max="2571" width="12.83203125" style="14" customWidth="1"/>
    <col min="2572" max="2572" width="12.1640625" style="14" customWidth="1"/>
    <col min="2573" max="2575" width="13.5" style="14" customWidth="1"/>
    <col min="2576" max="2577" width="12.1640625" style="14" customWidth="1"/>
    <col min="2578" max="2585" width="8.83203125" style="14"/>
    <col min="2586" max="2586" width="10.5" style="14" bestFit="1" customWidth="1"/>
    <col min="2587" max="2588" width="8.83203125" style="14"/>
    <col min="2589" max="2589" width="14" style="14" customWidth="1"/>
    <col min="2590" max="2817" width="8.83203125" style="14"/>
    <col min="2818" max="2819" width="10.6640625" style="14" customWidth="1"/>
    <col min="2820" max="2820" width="30.6640625" style="14" customWidth="1"/>
    <col min="2821" max="2824" width="10.6640625" style="14" customWidth="1"/>
    <col min="2825" max="2825" width="13.33203125" style="14" bestFit="1" customWidth="1"/>
    <col min="2826" max="2826" width="12.1640625" style="14" customWidth="1"/>
    <col min="2827" max="2827" width="12.83203125" style="14" customWidth="1"/>
    <col min="2828" max="2828" width="12.1640625" style="14" customWidth="1"/>
    <col min="2829" max="2831" width="13.5" style="14" customWidth="1"/>
    <col min="2832" max="2833" width="12.1640625" style="14" customWidth="1"/>
    <col min="2834" max="2841" width="8.83203125" style="14"/>
    <col min="2842" max="2842" width="10.5" style="14" bestFit="1" customWidth="1"/>
    <col min="2843" max="2844" width="8.83203125" style="14"/>
    <col min="2845" max="2845" width="14" style="14" customWidth="1"/>
    <col min="2846" max="3073" width="8.83203125" style="14"/>
    <col min="3074" max="3075" width="10.6640625" style="14" customWidth="1"/>
    <col min="3076" max="3076" width="30.6640625" style="14" customWidth="1"/>
    <col min="3077" max="3080" width="10.6640625" style="14" customWidth="1"/>
    <col min="3081" max="3081" width="13.33203125" style="14" bestFit="1" customWidth="1"/>
    <col min="3082" max="3082" width="12.1640625" style="14" customWidth="1"/>
    <col min="3083" max="3083" width="12.83203125" style="14" customWidth="1"/>
    <col min="3084" max="3084" width="12.1640625" style="14" customWidth="1"/>
    <col min="3085" max="3087" width="13.5" style="14" customWidth="1"/>
    <col min="3088" max="3089" width="12.1640625" style="14" customWidth="1"/>
    <col min="3090" max="3097" width="8.83203125" style="14"/>
    <col min="3098" max="3098" width="10.5" style="14" bestFit="1" customWidth="1"/>
    <col min="3099" max="3100" width="8.83203125" style="14"/>
    <col min="3101" max="3101" width="14" style="14" customWidth="1"/>
    <col min="3102" max="3329" width="8.83203125" style="14"/>
    <col min="3330" max="3331" width="10.6640625" style="14" customWidth="1"/>
    <col min="3332" max="3332" width="30.6640625" style="14" customWidth="1"/>
    <col min="3333" max="3336" width="10.6640625" style="14" customWidth="1"/>
    <col min="3337" max="3337" width="13.33203125" style="14" bestFit="1" customWidth="1"/>
    <col min="3338" max="3338" width="12.1640625" style="14" customWidth="1"/>
    <col min="3339" max="3339" width="12.83203125" style="14" customWidth="1"/>
    <col min="3340" max="3340" width="12.1640625" style="14" customWidth="1"/>
    <col min="3341" max="3343" width="13.5" style="14" customWidth="1"/>
    <col min="3344" max="3345" width="12.1640625" style="14" customWidth="1"/>
    <col min="3346" max="3353" width="8.83203125" style="14"/>
    <col min="3354" max="3354" width="10.5" style="14" bestFit="1" customWidth="1"/>
    <col min="3355" max="3356" width="8.83203125" style="14"/>
    <col min="3357" max="3357" width="14" style="14" customWidth="1"/>
    <col min="3358" max="3585" width="8.83203125" style="14"/>
    <col min="3586" max="3587" width="10.6640625" style="14" customWidth="1"/>
    <col min="3588" max="3588" width="30.6640625" style="14" customWidth="1"/>
    <col min="3589" max="3592" width="10.6640625" style="14" customWidth="1"/>
    <col min="3593" max="3593" width="13.33203125" style="14" bestFit="1" customWidth="1"/>
    <col min="3594" max="3594" width="12.1640625" style="14" customWidth="1"/>
    <col min="3595" max="3595" width="12.83203125" style="14" customWidth="1"/>
    <col min="3596" max="3596" width="12.1640625" style="14" customWidth="1"/>
    <col min="3597" max="3599" width="13.5" style="14" customWidth="1"/>
    <col min="3600" max="3601" width="12.1640625" style="14" customWidth="1"/>
    <col min="3602" max="3609" width="8.83203125" style="14"/>
    <col min="3610" max="3610" width="10.5" style="14" bestFit="1" customWidth="1"/>
    <col min="3611" max="3612" width="8.83203125" style="14"/>
    <col min="3613" max="3613" width="14" style="14" customWidth="1"/>
    <col min="3614" max="3841" width="8.83203125" style="14"/>
    <col min="3842" max="3843" width="10.6640625" style="14" customWidth="1"/>
    <col min="3844" max="3844" width="30.6640625" style="14" customWidth="1"/>
    <col min="3845" max="3848" width="10.6640625" style="14" customWidth="1"/>
    <col min="3849" max="3849" width="13.33203125" style="14" bestFit="1" customWidth="1"/>
    <col min="3850" max="3850" width="12.1640625" style="14" customWidth="1"/>
    <col min="3851" max="3851" width="12.83203125" style="14" customWidth="1"/>
    <col min="3852" max="3852" width="12.1640625" style="14" customWidth="1"/>
    <col min="3853" max="3855" width="13.5" style="14" customWidth="1"/>
    <col min="3856" max="3857" width="12.1640625" style="14" customWidth="1"/>
    <col min="3858" max="3865" width="8.83203125" style="14"/>
    <col min="3866" max="3866" width="10.5" style="14" bestFit="1" customWidth="1"/>
    <col min="3867" max="3868" width="8.83203125" style="14"/>
    <col min="3869" max="3869" width="14" style="14" customWidth="1"/>
    <col min="3870" max="4097" width="8.83203125" style="14"/>
    <col min="4098" max="4099" width="10.6640625" style="14" customWidth="1"/>
    <col min="4100" max="4100" width="30.6640625" style="14" customWidth="1"/>
    <col min="4101" max="4104" width="10.6640625" style="14" customWidth="1"/>
    <col min="4105" max="4105" width="13.33203125" style="14" bestFit="1" customWidth="1"/>
    <col min="4106" max="4106" width="12.1640625" style="14" customWidth="1"/>
    <col min="4107" max="4107" width="12.83203125" style="14" customWidth="1"/>
    <col min="4108" max="4108" width="12.1640625" style="14" customWidth="1"/>
    <col min="4109" max="4111" width="13.5" style="14" customWidth="1"/>
    <col min="4112" max="4113" width="12.1640625" style="14" customWidth="1"/>
    <col min="4114" max="4121" width="8.83203125" style="14"/>
    <col min="4122" max="4122" width="10.5" style="14" bestFit="1" customWidth="1"/>
    <col min="4123" max="4124" width="8.83203125" style="14"/>
    <col min="4125" max="4125" width="14" style="14" customWidth="1"/>
    <col min="4126" max="4353" width="8.83203125" style="14"/>
    <col min="4354" max="4355" width="10.6640625" style="14" customWidth="1"/>
    <col min="4356" max="4356" width="30.6640625" style="14" customWidth="1"/>
    <col min="4357" max="4360" width="10.6640625" style="14" customWidth="1"/>
    <col min="4361" max="4361" width="13.33203125" style="14" bestFit="1" customWidth="1"/>
    <col min="4362" max="4362" width="12.1640625" style="14" customWidth="1"/>
    <col min="4363" max="4363" width="12.83203125" style="14" customWidth="1"/>
    <col min="4364" max="4364" width="12.1640625" style="14" customWidth="1"/>
    <col min="4365" max="4367" width="13.5" style="14" customWidth="1"/>
    <col min="4368" max="4369" width="12.1640625" style="14" customWidth="1"/>
    <col min="4370" max="4377" width="8.83203125" style="14"/>
    <col min="4378" max="4378" width="10.5" style="14" bestFit="1" customWidth="1"/>
    <col min="4379" max="4380" width="8.83203125" style="14"/>
    <col min="4381" max="4381" width="14" style="14" customWidth="1"/>
    <col min="4382" max="4609" width="8.83203125" style="14"/>
    <col min="4610" max="4611" width="10.6640625" style="14" customWidth="1"/>
    <col min="4612" max="4612" width="30.6640625" style="14" customWidth="1"/>
    <col min="4613" max="4616" width="10.6640625" style="14" customWidth="1"/>
    <col min="4617" max="4617" width="13.33203125" style="14" bestFit="1" customWidth="1"/>
    <col min="4618" max="4618" width="12.1640625" style="14" customWidth="1"/>
    <col min="4619" max="4619" width="12.83203125" style="14" customWidth="1"/>
    <col min="4620" max="4620" width="12.1640625" style="14" customWidth="1"/>
    <col min="4621" max="4623" width="13.5" style="14" customWidth="1"/>
    <col min="4624" max="4625" width="12.1640625" style="14" customWidth="1"/>
    <col min="4626" max="4633" width="8.83203125" style="14"/>
    <col min="4634" max="4634" width="10.5" style="14" bestFit="1" customWidth="1"/>
    <col min="4635" max="4636" width="8.83203125" style="14"/>
    <col min="4637" max="4637" width="14" style="14" customWidth="1"/>
    <col min="4638" max="4865" width="8.83203125" style="14"/>
    <col min="4866" max="4867" width="10.6640625" style="14" customWidth="1"/>
    <col min="4868" max="4868" width="30.6640625" style="14" customWidth="1"/>
    <col min="4869" max="4872" width="10.6640625" style="14" customWidth="1"/>
    <col min="4873" max="4873" width="13.33203125" style="14" bestFit="1" customWidth="1"/>
    <col min="4874" max="4874" width="12.1640625" style="14" customWidth="1"/>
    <col min="4875" max="4875" width="12.83203125" style="14" customWidth="1"/>
    <col min="4876" max="4876" width="12.1640625" style="14" customWidth="1"/>
    <col min="4877" max="4879" width="13.5" style="14" customWidth="1"/>
    <col min="4880" max="4881" width="12.1640625" style="14" customWidth="1"/>
    <col min="4882" max="4889" width="8.83203125" style="14"/>
    <col min="4890" max="4890" width="10.5" style="14" bestFit="1" customWidth="1"/>
    <col min="4891" max="4892" width="8.83203125" style="14"/>
    <col min="4893" max="4893" width="14" style="14" customWidth="1"/>
    <col min="4894" max="5121" width="8.83203125" style="14"/>
    <col min="5122" max="5123" width="10.6640625" style="14" customWidth="1"/>
    <col min="5124" max="5124" width="30.6640625" style="14" customWidth="1"/>
    <col min="5125" max="5128" width="10.6640625" style="14" customWidth="1"/>
    <col min="5129" max="5129" width="13.33203125" style="14" bestFit="1" customWidth="1"/>
    <col min="5130" max="5130" width="12.1640625" style="14" customWidth="1"/>
    <col min="5131" max="5131" width="12.83203125" style="14" customWidth="1"/>
    <col min="5132" max="5132" width="12.1640625" style="14" customWidth="1"/>
    <col min="5133" max="5135" width="13.5" style="14" customWidth="1"/>
    <col min="5136" max="5137" width="12.1640625" style="14" customWidth="1"/>
    <col min="5138" max="5145" width="8.83203125" style="14"/>
    <col min="5146" max="5146" width="10.5" style="14" bestFit="1" customWidth="1"/>
    <col min="5147" max="5148" width="8.83203125" style="14"/>
    <col min="5149" max="5149" width="14" style="14" customWidth="1"/>
    <col min="5150" max="5377" width="8.83203125" style="14"/>
    <col min="5378" max="5379" width="10.6640625" style="14" customWidth="1"/>
    <col min="5380" max="5380" width="30.6640625" style="14" customWidth="1"/>
    <col min="5381" max="5384" width="10.6640625" style="14" customWidth="1"/>
    <col min="5385" max="5385" width="13.33203125" style="14" bestFit="1" customWidth="1"/>
    <col min="5386" max="5386" width="12.1640625" style="14" customWidth="1"/>
    <col min="5387" max="5387" width="12.83203125" style="14" customWidth="1"/>
    <col min="5388" max="5388" width="12.1640625" style="14" customWidth="1"/>
    <col min="5389" max="5391" width="13.5" style="14" customWidth="1"/>
    <col min="5392" max="5393" width="12.1640625" style="14" customWidth="1"/>
    <col min="5394" max="5401" width="8.83203125" style="14"/>
    <col min="5402" max="5402" width="10.5" style="14" bestFit="1" customWidth="1"/>
    <col min="5403" max="5404" width="8.83203125" style="14"/>
    <col min="5405" max="5405" width="14" style="14" customWidth="1"/>
    <col min="5406" max="5633" width="8.83203125" style="14"/>
    <col min="5634" max="5635" width="10.6640625" style="14" customWidth="1"/>
    <col min="5636" max="5636" width="30.6640625" style="14" customWidth="1"/>
    <col min="5637" max="5640" width="10.6640625" style="14" customWidth="1"/>
    <col min="5641" max="5641" width="13.33203125" style="14" bestFit="1" customWidth="1"/>
    <col min="5642" max="5642" width="12.1640625" style="14" customWidth="1"/>
    <col min="5643" max="5643" width="12.83203125" style="14" customWidth="1"/>
    <col min="5644" max="5644" width="12.1640625" style="14" customWidth="1"/>
    <col min="5645" max="5647" width="13.5" style="14" customWidth="1"/>
    <col min="5648" max="5649" width="12.1640625" style="14" customWidth="1"/>
    <col min="5650" max="5657" width="8.83203125" style="14"/>
    <col min="5658" max="5658" width="10.5" style="14" bestFit="1" customWidth="1"/>
    <col min="5659" max="5660" width="8.83203125" style="14"/>
    <col min="5661" max="5661" width="14" style="14" customWidth="1"/>
    <col min="5662" max="5889" width="8.83203125" style="14"/>
    <col min="5890" max="5891" width="10.6640625" style="14" customWidth="1"/>
    <col min="5892" max="5892" width="30.6640625" style="14" customWidth="1"/>
    <col min="5893" max="5896" width="10.6640625" style="14" customWidth="1"/>
    <col min="5897" max="5897" width="13.33203125" style="14" bestFit="1" customWidth="1"/>
    <col min="5898" max="5898" width="12.1640625" style="14" customWidth="1"/>
    <col min="5899" max="5899" width="12.83203125" style="14" customWidth="1"/>
    <col min="5900" max="5900" width="12.1640625" style="14" customWidth="1"/>
    <col min="5901" max="5903" width="13.5" style="14" customWidth="1"/>
    <col min="5904" max="5905" width="12.1640625" style="14" customWidth="1"/>
    <col min="5906" max="5913" width="8.83203125" style="14"/>
    <col min="5914" max="5914" width="10.5" style="14" bestFit="1" customWidth="1"/>
    <col min="5915" max="5916" width="8.83203125" style="14"/>
    <col min="5917" max="5917" width="14" style="14" customWidth="1"/>
    <col min="5918" max="6145" width="8.83203125" style="14"/>
    <col min="6146" max="6147" width="10.6640625" style="14" customWidth="1"/>
    <col min="6148" max="6148" width="30.6640625" style="14" customWidth="1"/>
    <col min="6149" max="6152" width="10.6640625" style="14" customWidth="1"/>
    <col min="6153" max="6153" width="13.33203125" style="14" bestFit="1" customWidth="1"/>
    <col min="6154" max="6154" width="12.1640625" style="14" customWidth="1"/>
    <col min="6155" max="6155" width="12.83203125" style="14" customWidth="1"/>
    <col min="6156" max="6156" width="12.1640625" style="14" customWidth="1"/>
    <col min="6157" max="6159" width="13.5" style="14" customWidth="1"/>
    <col min="6160" max="6161" width="12.1640625" style="14" customWidth="1"/>
    <col min="6162" max="6169" width="8.83203125" style="14"/>
    <col min="6170" max="6170" width="10.5" style="14" bestFit="1" customWidth="1"/>
    <col min="6171" max="6172" width="8.83203125" style="14"/>
    <col min="6173" max="6173" width="14" style="14" customWidth="1"/>
    <col min="6174" max="6401" width="8.83203125" style="14"/>
    <col min="6402" max="6403" width="10.6640625" style="14" customWidth="1"/>
    <col min="6404" max="6404" width="30.6640625" style="14" customWidth="1"/>
    <col min="6405" max="6408" width="10.6640625" style="14" customWidth="1"/>
    <col min="6409" max="6409" width="13.33203125" style="14" bestFit="1" customWidth="1"/>
    <col min="6410" max="6410" width="12.1640625" style="14" customWidth="1"/>
    <col min="6411" max="6411" width="12.83203125" style="14" customWidth="1"/>
    <col min="6412" max="6412" width="12.1640625" style="14" customWidth="1"/>
    <col min="6413" max="6415" width="13.5" style="14" customWidth="1"/>
    <col min="6416" max="6417" width="12.1640625" style="14" customWidth="1"/>
    <col min="6418" max="6425" width="8.83203125" style="14"/>
    <col min="6426" max="6426" width="10.5" style="14" bestFit="1" customWidth="1"/>
    <col min="6427" max="6428" width="8.83203125" style="14"/>
    <col min="6429" max="6429" width="14" style="14" customWidth="1"/>
    <col min="6430" max="6657" width="8.83203125" style="14"/>
    <col min="6658" max="6659" width="10.6640625" style="14" customWidth="1"/>
    <col min="6660" max="6660" width="30.6640625" style="14" customWidth="1"/>
    <col min="6661" max="6664" width="10.6640625" style="14" customWidth="1"/>
    <col min="6665" max="6665" width="13.33203125" style="14" bestFit="1" customWidth="1"/>
    <col min="6666" max="6666" width="12.1640625" style="14" customWidth="1"/>
    <col min="6667" max="6667" width="12.83203125" style="14" customWidth="1"/>
    <col min="6668" max="6668" width="12.1640625" style="14" customWidth="1"/>
    <col min="6669" max="6671" width="13.5" style="14" customWidth="1"/>
    <col min="6672" max="6673" width="12.1640625" style="14" customWidth="1"/>
    <col min="6674" max="6681" width="8.83203125" style="14"/>
    <col min="6682" max="6682" width="10.5" style="14" bestFit="1" customWidth="1"/>
    <col min="6683" max="6684" width="8.83203125" style="14"/>
    <col min="6685" max="6685" width="14" style="14" customWidth="1"/>
    <col min="6686" max="6913" width="8.83203125" style="14"/>
    <col min="6914" max="6915" width="10.6640625" style="14" customWidth="1"/>
    <col min="6916" max="6916" width="30.6640625" style="14" customWidth="1"/>
    <col min="6917" max="6920" width="10.6640625" style="14" customWidth="1"/>
    <col min="6921" max="6921" width="13.33203125" style="14" bestFit="1" customWidth="1"/>
    <col min="6922" max="6922" width="12.1640625" style="14" customWidth="1"/>
    <col min="6923" max="6923" width="12.83203125" style="14" customWidth="1"/>
    <col min="6924" max="6924" width="12.1640625" style="14" customWidth="1"/>
    <col min="6925" max="6927" width="13.5" style="14" customWidth="1"/>
    <col min="6928" max="6929" width="12.1640625" style="14" customWidth="1"/>
    <col min="6930" max="6937" width="8.83203125" style="14"/>
    <col min="6938" max="6938" width="10.5" style="14" bestFit="1" customWidth="1"/>
    <col min="6939" max="6940" width="8.83203125" style="14"/>
    <col min="6941" max="6941" width="14" style="14" customWidth="1"/>
    <col min="6942" max="7169" width="8.83203125" style="14"/>
    <col min="7170" max="7171" width="10.6640625" style="14" customWidth="1"/>
    <col min="7172" max="7172" width="30.6640625" style="14" customWidth="1"/>
    <col min="7173" max="7176" width="10.6640625" style="14" customWidth="1"/>
    <col min="7177" max="7177" width="13.33203125" style="14" bestFit="1" customWidth="1"/>
    <col min="7178" max="7178" width="12.1640625" style="14" customWidth="1"/>
    <col min="7179" max="7179" width="12.83203125" style="14" customWidth="1"/>
    <col min="7180" max="7180" width="12.1640625" style="14" customWidth="1"/>
    <col min="7181" max="7183" width="13.5" style="14" customWidth="1"/>
    <col min="7184" max="7185" width="12.1640625" style="14" customWidth="1"/>
    <col min="7186" max="7193" width="8.83203125" style="14"/>
    <col min="7194" max="7194" width="10.5" style="14" bestFit="1" customWidth="1"/>
    <col min="7195" max="7196" width="8.83203125" style="14"/>
    <col min="7197" max="7197" width="14" style="14" customWidth="1"/>
    <col min="7198" max="7425" width="8.83203125" style="14"/>
    <col min="7426" max="7427" width="10.6640625" style="14" customWidth="1"/>
    <col min="7428" max="7428" width="30.6640625" style="14" customWidth="1"/>
    <col min="7429" max="7432" width="10.6640625" style="14" customWidth="1"/>
    <col min="7433" max="7433" width="13.33203125" style="14" bestFit="1" customWidth="1"/>
    <col min="7434" max="7434" width="12.1640625" style="14" customWidth="1"/>
    <col min="7435" max="7435" width="12.83203125" style="14" customWidth="1"/>
    <col min="7436" max="7436" width="12.1640625" style="14" customWidth="1"/>
    <col min="7437" max="7439" width="13.5" style="14" customWidth="1"/>
    <col min="7440" max="7441" width="12.1640625" style="14" customWidth="1"/>
    <col min="7442" max="7449" width="8.83203125" style="14"/>
    <col min="7450" max="7450" width="10.5" style="14" bestFit="1" customWidth="1"/>
    <col min="7451" max="7452" width="8.83203125" style="14"/>
    <col min="7453" max="7453" width="14" style="14" customWidth="1"/>
    <col min="7454" max="7681" width="8.83203125" style="14"/>
    <col min="7682" max="7683" width="10.6640625" style="14" customWidth="1"/>
    <col min="7684" max="7684" width="30.6640625" style="14" customWidth="1"/>
    <col min="7685" max="7688" width="10.6640625" style="14" customWidth="1"/>
    <col min="7689" max="7689" width="13.33203125" style="14" bestFit="1" customWidth="1"/>
    <col min="7690" max="7690" width="12.1640625" style="14" customWidth="1"/>
    <col min="7691" max="7691" width="12.83203125" style="14" customWidth="1"/>
    <col min="7692" max="7692" width="12.1640625" style="14" customWidth="1"/>
    <col min="7693" max="7695" width="13.5" style="14" customWidth="1"/>
    <col min="7696" max="7697" width="12.1640625" style="14" customWidth="1"/>
    <col min="7698" max="7705" width="8.83203125" style="14"/>
    <col min="7706" max="7706" width="10.5" style="14" bestFit="1" customWidth="1"/>
    <col min="7707" max="7708" width="8.83203125" style="14"/>
    <col min="7709" max="7709" width="14" style="14" customWidth="1"/>
    <col min="7710" max="7937" width="8.83203125" style="14"/>
    <col min="7938" max="7939" width="10.6640625" style="14" customWidth="1"/>
    <col min="7940" max="7940" width="30.6640625" style="14" customWidth="1"/>
    <col min="7941" max="7944" width="10.6640625" style="14" customWidth="1"/>
    <col min="7945" max="7945" width="13.33203125" style="14" bestFit="1" customWidth="1"/>
    <col min="7946" max="7946" width="12.1640625" style="14" customWidth="1"/>
    <col min="7947" max="7947" width="12.83203125" style="14" customWidth="1"/>
    <col min="7948" max="7948" width="12.1640625" style="14" customWidth="1"/>
    <col min="7949" max="7951" width="13.5" style="14" customWidth="1"/>
    <col min="7952" max="7953" width="12.1640625" style="14" customWidth="1"/>
    <col min="7954" max="7961" width="8.83203125" style="14"/>
    <col min="7962" max="7962" width="10.5" style="14" bestFit="1" customWidth="1"/>
    <col min="7963" max="7964" width="8.83203125" style="14"/>
    <col min="7965" max="7965" width="14" style="14" customWidth="1"/>
    <col min="7966" max="8193" width="8.83203125" style="14"/>
    <col min="8194" max="8195" width="10.6640625" style="14" customWidth="1"/>
    <col min="8196" max="8196" width="30.6640625" style="14" customWidth="1"/>
    <col min="8197" max="8200" width="10.6640625" style="14" customWidth="1"/>
    <col min="8201" max="8201" width="13.33203125" style="14" bestFit="1" customWidth="1"/>
    <col min="8202" max="8202" width="12.1640625" style="14" customWidth="1"/>
    <col min="8203" max="8203" width="12.83203125" style="14" customWidth="1"/>
    <col min="8204" max="8204" width="12.1640625" style="14" customWidth="1"/>
    <col min="8205" max="8207" width="13.5" style="14" customWidth="1"/>
    <col min="8208" max="8209" width="12.1640625" style="14" customWidth="1"/>
    <col min="8210" max="8217" width="8.83203125" style="14"/>
    <col min="8218" max="8218" width="10.5" style="14" bestFit="1" customWidth="1"/>
    <col min="8219" max="8220" width="8.83203125" style="14"/>
    <col min="8221" max="8221" width="14" style="14" customWidth="1"/>
    <col min="8222" max="8449" width="8.83203125" style="14"/>
    <col min="8450" max="8451" width="10.6640625" style="14" customWidth="1"/>
    <col min="8452" max="8452" width="30.6640625" style="14" customWidth="1"/>
    <col min="8453" max="8456" width="10.6640625" style="14" customWidth="1"/>
    <col min="8457" max="8457" width="13.33203125" style="14" bestFit="1" customWidth="1"/>
    <col min="8458" max="8458" width="12.1640625" style="14" customWidth="1"/>
    <col min="8459" max="8459" width="12.83203125" style="14" customWidth="1"/>
    <col min="8460" max="8460" width="12.1640625" style="14" customWidth="1"/>
    <col min="8461" max="8463" width="13.5" style="14" customWidth="1"/>
    <col min="8464" max="8465" width="12.1640625" style="14" customWidth="1"/>
    <col min="8466" max="8473" width="8.83203125" style="14"/>
    <col min="8474" max="8474" width="10.5" style="14" bestFit="1" customWidth="1"/>
    <col min="8475" max="8476" width="8.83203125" style="14"/>
    <col min="8477" max="8477" width="14" style="14" customWidth="1"/>
    <col min="8478" max="8705" width="8.83203125" style="14"/>
    <col min="8706" max="8707" width="10.6640625" style="14" customWidth="1"/>
    <col min="8708" max="8708" width="30.6640625" style="14" customWidth="1"/>
    <col min="8709" max="8712" width="10.6640625" style="14" customWidth="1"/>
    <col min="8713" max="8713" width="13.33203125" style="14" bestFit="1" customWidth="1"/>
    <col min="8714" max="8714" width="12.1640625" style="14" customWidth="1"/>
    <col min="8715" max="8715" width="12.83203125" style="14" customWidth="1"/>
    <col min="8716" max="8716" width="12.1640625" style="14" customWidth="1"/>
    <col min="8717" max="8719" width="13.5" style="14" customWidth="1"/>
    <col min="8720" max="8721" width="12.1640625" style="14" customWidth="1"/>
    <col min="8722" max="8729" width="8.83203125" style="14"/>
    <col min="8730" max="8730" width="10.5" style="14" bestFit="1" customWidth="1"/>
    <col min="8731" max="8732" width="8.83203125" style="14"/>
    <col min="8733" max="8733" width="14" style="14" customWidth="1"/>
    <col min="8734" max="8961" width="8.83203125" style="14"/>
    <col min="8962" max="8963" width="10.6640625" style="14" customWidth="1"/>
    <col min="8964" max="8964" width="30.6640625" style="14" customWidth="1"/>
    <col min="8965" max="8968" width="10.6640625" style="14" customWidth="1"/>
    <col min="8969" max="8969" width="13.33203125" style="14" bestFit="1" customWidth="1"/>
    <col min="8970" max="8970" width="12.1640625" style="14" customWidth="1"/>
    <col min="8971" max="8971" width="12.83203125" style="14" customWidth="1"/>
    <col min="8972" max="8972" width="12.1640625" style="14" customWidth="1"/>
    <col min="8973" max="8975" width="13.5" style="14" customWidth="1"/>
    <col min="8976" max="8977" width="12.1640625" style="14" customWidth="1"/>
    <col min="8978" max="8985" width="8.83203125" style="14"/>
    <col min="8986" max="8986" width="10.5" style="14" bestFit="1" customWidth="1"/>
    <col min="8987" max="8988" width="8.83203125" style="14"/>
    <col min="8989" max="8989" width="14" style="14" customWidth="1"/>
    <col min="8990" max="9217" width="8.83203125" style="14"/>
    <col min="9218" max="9219" width="10.6640625" style="14" customWidth="1"/>
    <col min="9220" max="9220" width="30.6640625" style="14" customWidth="1"/>
    <col min="9221" max="9224" width="10.6640625" style="14" customWidth="1"/>
    <col min="9225" max="9225" width="13.33203125" style="14" bestFit="1" customWidth="1"/>
    <col min="9226" max="9226" width="12.1640625" style="14" customWidth="1"/>
    <col min="9227" max="9227" width="12.83203125" style="14" customWidth="1"/>
    <col min="9228" max="9228" width="12.1640625" style="14" customWidth="1"/>
    <col min="9229" max="9231" width="13.5" style="14" customWidth="1"/>
    <col min="9232" max="9233" width="12.1640625" style="14" customWidth="1"/>
    <col min="9234" max="9241" width="8.83203125" style="14"/>
    <col min="9242" max="9242" width="10.5" style="14" bestFit="1" customWidth="1"/>
    <col min="9243" max="9244" width="8.83203125" style="14"/>
    <col min="9245" max="9245" width="14" style="14" customWidth="1"/>
    <col min="9246" max="9473" width="8.83203125" style="14"/>
    <col min="9474" max="9475" width="10.6640625" style="14" customWidth="1"/>
    <col min="9476" max="9476" width="30.6640625" style="14" customWidth="1"/>
    <col min="9477" max="9480" width="10.6640625" style="14" customWidth="1"/>
    <col min="9481" max="9481" width="13.33203125" style="14" bestFit="1" customWidth="1"/>
    <col min="9482" max="9482" width="12.1640625" style="14" customWidth="1"/>
    <col min="9483" max="9483" width="12.83203125" style="14" customWidth="1"/>
    <col min="9484" max="9484" width="12.1640625" style="14" customWidth="1"/>
    <col min="9485" max="9487" width="13.5" style="14" customWidth="1"/>
    <col min="9488" max="9489" width="12.1640625" style="14" customWidth="1"/>
    <col min="9490" max="9497" width="8.83203125" style="14"/>
    <col min="9498" max="9498" width="10.5" style="14" bestFit="1" customWidth="1"/>
    <col min="9499" max="9500" width="8.83203125" style="14"/>
    <col min="9501" max="9501" width="14" style="14" customWidth="1"/>
    <col min="9502" max="9729" width="8.83203125" style="14"/>
    <col min="9730" max="9731" width="10.6640625" style="14" customWidth="1"/>
    <col min="9732" max="9732" width="30.6640625" style="14" customWidth="1"/>
    <col min="9733" max="9736" width="10.6640625" style="14" customWidth="1"/>
    <col min="9737" max="9737" width="13.33203125" style="14" bestFit="1" customWidth="1"/>
    <col min="9738" max="9738" width="12.1640625" style="14" customWidth="1"/>
    <col min="9739" max="9739" width="12.83203125" style="14" customWidth="1"/>
    <col min="9740" max="9740" width="12.1640625" style="14" customWidth="1"/>
    <col min="9741" max="9743" width="13.5" style="14" customWidth="1"/>
    <col min="9744" max="9745" width="12.1640625" style="14" customWidth="1"/>
    <col min="9746" max="9753" width="8.83203125" style="14"/>
    <col min="9754" max="9754" width="10.5" style="14" bestFit="1" customWidth="1"/>
    <col min="9755" max="9756" width="8.83203125" style="14"/>
    <col min="9757" max="9757" width="14" style="14" customWidth="1"/>
    <col min="9758" max="9985" width="8.83203125" style="14"/>
    <col min="9986" max="9987" width="10.6640625" style="14" customWidth="1"/>
    <col min="9988" max="9988" width="30.6640625" style="14" customWidth="1"/>
    <col min="9989" max="9992" width="10.6640625" style="14" customWidth="1"/>
    <col min="9993" max="9993" width="13.33203125" style="14" bestFit="1" customWidth="1"/>
    <col min="9994" max="9994" width="12.1640625" style="14" customWidth="1"/>
    <col min="9995" max="9995" width="12.83203125" style="14" customWidth="1"/>
    <col min="9996" max="9996" width="12.1640625" style="14" customWidth="1"/>
    <col min="9997" max="9999" width="13.5" style="14" customWidth="1"/>
    <col min="10000" max="10001" width="12.1640625" style="14" customWidth="1"/>
    <col min="10002" max="10009" width="8.83203125" style="14"/>
    <col min="10010" max="10010" width="10.5" style="14" bestFit="1" customWidth="1"/>
    <col min="10011" max="10012" width="8.83203125" style="14"/>
    <col min="10013" max="10013" width="14" style="14" customWidth="1"/>
    <col min="10014" max="10241" width="8.83203125" style="14"/>
    <col min="10242" max="10243" width="10.6640625" style="14" customWidth="1"/>
    <col min="10244" max="10244" width="30.6640625" style="14" customWidth="1"/>
    <col min="10245" max="10248" width="10.6640625" style="14" customWidth="1"/>
    <col min="10249" max="10249" width="13.33203125" style="14" bestFit="1" customWidth="1"/>
    <col min="10250" max="10250" width="12.1640625" style="14" customWidth="1"/>
    <col min="10251" max="10251" width="12.83203125" style="14" customWidth="1"/>
    <col min="10252" max="10252" width="12.1640625" style="14" customWidth="1"/>
    <col min="10253" max="10255" width="13.5" style="14" customWidth="1"/>
    <col min="10256" max="10257" width="12.1640625" style="14" customWidth="1"/>
    <col min="10258" max="10265" width="8.83203125" style="14"/>
    <col min="10266" max="10266" width="10.5" style="14" bestFit="1" customWidth="1"/>
    <col min="10267" max="10268" width="8.83203125" style="14"/>
    <col min="10269" max="10269" width="14" style="14" customWidth="1"/>
    <col min="10270" max="10497" width="8.83203125" style="14"/>
    <col min="10498" max="10499" width="10.6640625" style="14" customWidth="1"/>
    <col min="10500" max="10500" width="30.6640625" style="14" customWidth="1"/>
    <col min="10501" max="10504" width="10.6640625" style="14" customWidth="1"/>
    <col min="10505" max="10505" width="13.33203125" style="14" bestFit="1" customWidth="1"/>
    <col min="10506" max="10506" width="12.1640625" style="14" customWidth="1"/>
    <col min="10507" max="10507" width="12.83203125" style="14" customWidth="1"/>
    <col min="10508" max="10508" width="12.1640625" style="14" customWidth="1"/>
    <col min="10509" max="10511" width="13.5" style="14" customWidth="1"/>
    <col min="10512" max="10513" width="12.1640625" style="14" customWidth="1"/>
    <col min="10514" max="10521" width="8.83203125" style="14"/>
    <col min="10522" max="10522" width="10.5" style="14" bestFit="1" customWidth="1"/>
    <col min="10523" max="10524" width="8.83203125" style="14"/>
    <col min="10525" max="10525" width="14" style="14" customWidth="1"/>
    <col min="10526" max="10753" width="8.83203125" style="14"/>
    <col min="10754" max="10755" width="10.6640625" style="14" customWidth="1"/>
    <col min="10756" max="10756" width="30.6640625" style="14" customWidth="1"/>
    <col min="10757" max="10760" width="10.6640625" style="14" customWidth="1"/>
    <col min="10761" max="10761" width="13.33203125" style="14" bestFit="1" customWidth="1"/>
    <col min="10762" max="10762" width="12.1640625" style="14" customWidth="1"/>
    <col min="10763" max="10763" width="12.83203125" style="14" customWidth="1"/>
    <col min="10764" max="10764" width="12.1640625" style="14" customWidth="1"/>
    <col min="10765" max="10767" width="13.5" style="14" customWidth="1"/>
    <col min="10768" max="10769" width="12.1640625" style="14" customWidth="1"/>
    <col min="10770" max="10777" width="8.83203125" style="14"/>
    <col min="10778" max="10778" width="10.5" style="14" bestFit="1" customWidth="1"/>
    <col min="10779" max="10780" width="8.83203125" style="14"/>
    <col min="10781" max="10781" width="14" style="14" customWidth="1"/>
    <col min="10782" max="11009" width="8.83203125" style="14"/>
    <col min="11010" max="11011" width="10.6640625" style="14" customWidth="1"/>
    <col min="11012" max="11012" width="30.6640625" style="14" customWidth="1"/>
    <col min="11013" max="11016" width="10.6640625" style="14" customWidth="1"/>
    <col min="11017" max="11017" width="13.33203125" style="14" bestFit="1" customWidth="1"/>
    <col min="11018" max="11018" width="12.1640625" style="14" customWidth="1"/>
    <col min="11019" max="11019" width="12.83203125" style="14" customWidth="1"/>
    <col min="11020" max="11020" width="12.1640625" style="14" customWidth="1"/>
    <col min="11021" max="11023" width="13.5" style="14" customWidth="1"/>
    <col min="11024" max="11025" width="12.1640625" style="14" customWidth="1"/>
    <col min="11026" max="11033" width="8.83203125" style="14"/>
    <col min="11034" max="11034" width="10.5" style="14" bestFit="1" customWidth="1"/>
    <col min="11035" max="11036" width="8.83203125" style="14"/>
    <col min="11037" max="11037" width="14" style="14" customWidth="1"/>
    <col min="11038" max="11265" width="8.83203125" style="14"/>
    <col min="11266" max="11267" width="10.6640625" style="14" customWidth="1"/>
    <col min="11268" max="11268" width="30.6640625" style="14" customWidth="1"/>
    <col min="11269" max="11272" width="10.6640625" style="14" customWidth="1"/>
    <col min="11273" max="11273" width="13.33203125" style="14" bestFit="1" customWidth="1"/>
    <col min="11274" max="11274" width="12.1640625" style="14" customWidth="1"/>
    <col min="11275" max="11275" width="12.83203125" style="14" customWidth="1"/>
    <col min="11276" max="11276" width="12.1640625" style="14" customWidth="1"/>
    <col min="11277" max="11279" width="13.5" style="14" customWidth="1"/>
    <col min="11280" max="11281" width="12.1640625" style="14" customWidth="1"/>
    <col min="11282" max="11289" width="8.83203125" style="14"/>
    <col min="11290" max="11290" width="10.5" style="14" bestFit="1" customWidth="1"/>
    <col min="11291" max="11292" width="8.83203125" style="14"/>
    <col min="11293" max="11293" width="14" style="14" customWidth="1"/>
    <col min="11294" max="11521" width="8.83203125" style="14"/>
    <col min="11522" max="11523" width="10.6640625" style="14" customWidth="1"/>
    <col min="11524" max="11524" width="30.6640625" style="14" customWidth="1"/>
    <col min="11525" max="11528" width="10.6640625" style="14" customWidth="1"/>
    <col min="11529" max="11529" width="13.33203125" style="14" bestFit="1" customWidth="1"/>
    <col min="11530" max="11530" width="12.1640625" style="14" customWidth="1"/>
    <col min="11531" max="11531" width="12.83203125" style="14" customWidth="1"/>
    <col min="11532" max="11532" width="12.1640625" style="14" customWidth="1"/>
    <col min="11533" max="11535" width="13.5" style="14" customWidth="1"/>
    <col min="11536" max="11537" width="12.1640625" style="14" customWidth="1"/>
    <col min="11538" max="11545" width="8.83203125" style="14"/>
    <col min="11546" max="11546" width="10.5" style="14" bestFit="1" customWidth="1"/>
    <col min="11547" max="11548" width="8.83203125" style="14"/>
    <col min="11549" max="11549" width="14" style="14" customWidth="1"/>
    <col min="11550" max="11777" width="8.83203125" style="14"/>
    <col min="11778" max="11779" width="10.6640625" style="14" customWidth="1"/>
    <col min="11780" max="11780" width="30.6640625" style="14" customWidth="1"/>
    <col min="11781" max="11784" width="10.6640625" style="14" customWidth="1"/>
    <col min="11785" max="11785" width="13.33203125" style="14" bestFit="1" customWidth="1"/>
    <col min="11786" max="11786" width="12.1640625" style="14" customWidth="1"/>
    <col min="11787" max="11787" width="12.83203125" style="14" customWidth="1"/>
    <col min="11788" max="11788" width="12.1640625" style="14" customWidth="1"/>
    <col min="11789" max="11791" width="13.5" style="14" customWidth="1"/>
    <col min="11792" max="11793" width="12.1640625" style="14" customWidth="1"/>
    <col min="11794" max="11801" width="8.83203125" style="14"/>
    <col min="11802" max="11802" width="10.5" style="14" bestFit="1" customWidth="1"/>
    <col min="11803" max="11804" width="8.83203125" style="14"/>
    <col min="11805" max="11805" width="14" style="14" customWidth="1"/>
    <col min="11806" max="12033" width="8.83203125" style="14"/>
    <col min="12034" max="12035" width="10.6640625" style="14" customWidth="1"/>
    <col min="12036" max="12036" width="30.6640625" style="14" customWidth="1"/>
    <col min="12037" max="12040" width="10.6640625" style="14" customWidth="1"/>
    <col min="12041" max="12041" width="13.33203125" style="14" bestFit="1" customWidth="1"/>
    <col min="12042" max="12042" width="12.1640625" style="14" customWidth="1"/>
    <col min="12043" max="12043" width="12.83203125" style="14" customWidth="1"/>
    <col min="12044" max="12044" width="12.1640625" style="14" customWidth="1"/>
    <col min="12045" max="12047" width="13.5" style="14" customWidth="1"/>
    <col min="12048" max="12049" width="12.1640625" style="14" customWidth="1"/>
    <col min="12050" max="12057" width="8.83203125" style="14"/>
    <col min="12058" max="12058" width="10.5" style="14" bestFit="1" customWidth="1"/>
    <col min="12059" max="12060" width="8.83203125" style="14"/>
    <col min="12061" max="12061" width="14" style="14" customWidth="1"/>
    <col min="12062" max="12289" width="8.83203125" style="14"/>
    <col min="12290" max="12291" width="10.6640625" style="14" customWidth="1"/>
    <col min="12292" max="12292" width="30.6640625" style="14" customWidth="1"/>
    <col min="12293" max="12296" width="10.6640625" style="14" customWidth="1"/>
    <col min="12297" max="12297" width="13.33203125" style="14" bestFit="1" customWidth="1"/>
    <col min="12298" max="12298" width="12.1640625" style="14" customWidth="1"/>
    <col min="12299" max="12299" width="12.83203125" style="14" customWidth="1"/>
    <col min="12300" max="12300" width="12.1640625" style="14" customWidth="1"/>
    <col min="12301" max="12303" width="13.5" style="14" customWidth="1"/>
    <col min="12304" max="12305" width="12.1640625" style="14" customWidth="1"/>
    <col min="12306" max="12313" width="8.83203125" style="14"/>
    <col min="12314" max="12314" width="10.5" style="14" bestFit="1" customWidth="1"/>
    <col min="12315" max="12316" width="8.83203125" style="14"/>
    <col min="12317" max="12317" width="14" style="14" customWidth="1"/>
    <col min="12318" max="12545" width="8.83203125" style="14"/>
    <col min="12546" max="12547" width="10.6640625" style="14" customWidth="1"/>
    <col min="12548" max="12548" width="30.6640625" style="14" customWidth="1"/>
    <col min="12549" max="12552" width="10.6640625" style="14" customWidth="1"/>
    <col min="12553" max="12553" width="13.33203125" style="14" bestFit="1" customWidth="1"/>
    <col min="12554" max="12554" width="12.1640625" style="14" customWidth="1"/>
    <col min="12555" max="12555" width="12.83203125" style="14" customWidth="1"/>
    <col min="12556" max="12556" width="12.1640625" style="14" customWidth="1"/>
    <col min="12557" max="12559" width="13.5" style="14" customWidth="1"/>
    <col min="12560" max="12561" width="12.1640625" style="14" customWidth="1"/>
    <col min="12562" max="12569" width="8.83203125" style="14"/>
    <col min="12570" max="12570" width="10.5" style="14" bestFit="1" customWidth="1"/>
    <col min="12571" max="12572" width="8.83203125" style="14"/>
    <col min="12573" max="12573" width="14" style="14" customWidth="1"/>
    <col min="12574" max="12801" width="8.83203125" style="14"/>
    <col min="12802" max="12803" width="10.6640625" style="14" customWidth="1"/>
    <col min="12804" max="12804" width="30.6640625" style="14" customWidth="1"/>
    <col min="12805" max="12808" width="10.6640625" style="14" customWidth="1"/>
    <col min="12809" max="12809" width="13.33203125" style="14" bestFit="1" customWidth="1"/>
    <col min="12810" max="12810" width="12.1640625" style="14" customWidth="1"/>
    <col min="12811" max="12811" width="12.83203125" style="14" customWidth="1"/>
    <col min="12812" max="12812" width="12.1640625" style="14" customWidth="1"/>
    <col min="12813" max="12815" width="13.5" style="14" customWidth="1"/>
    <col min="12816" max="12817" width="12.1640625" style="14" customWidth="1"/>
    <col min="12818" max="12825" width="8.83203125" style="14"/>
    <col min="12826" max="12826" width="10.5" style="14" bestFit="1" customWidth="1"/>
    <col min="12827" max="12828" width="8.83203125" style="14"/>
    <col min="12829" max="12829" width="14" style="14" customWidth="1"/>
    <col min="12830" max="13057" width="8.83203125" style="14"/>
    <col min="13058" max="13059" width="10.6640625" style="14" customWidth="1"/>
    <col min="13060" max="13060" width="30.6640625" style="14" customWidth="1"/>
    <col min="13061" max="13064" width="10.6640625" style="14" customWidth="1"/>
    <col min="13065" max="13065" width="13.33203125" style="14" bestFit="1" customWidth="1"/>
    <col min="13066" max="13066" width="12.1640625" style="14" customWidth="1"/>
    <col min="13067" max="13067" width="12.83203125" style="14" customWidth="1"/>
    <col min="13068" max="13068" width="12.1640625" style="14" customWidth="1"/>
    <col min="13069" max="13071" width="13.5" style="14" customWidth="1"/>
    <col min="13072" max="13073" width="12.1640625" style="14" customWidth="1"/>
    <col min="13074" max="13081" width="8.83203125" style="14"/>
    <col min="13082" max="13082" width="10.5" style="14" bestFit="1" customWidth="1"/>
    <col min="13083" max="13084" width="8.83203125" style="14"/>
    <col min="13085" max="13085" width="14" style="14" customWidth="1"/>
    <col min="13086" max="13313" width="8.83203125" style="14"/>
    <col min="13314" max="13315" width="10.6640625" style="14" customWidth="1"/>
    <col min="13316" max="13316" width="30.6640625" style="14" customWidth="1"/>
    <col min="13317" max="13320" width="10.6640625" style="14" customWidth="1"/>
    <col min="13321" max="13321" width="13.33203125" style="14" bestFit="1" customWidth="1"/>
    <col min="13322" max="13322" width="12.1640625" style="14" customWidth="1"/>
    <col min="13323" max="13323" width="12.83203125" style="14" customWidth="1"/>
    <col min="13324" max="13324" width="12.1640625" style="14" customWidth="1"/>
    <col min="13325" max="13327" width="13.5" style="14" customWidth="1"/>
    <col min="13328" max="13329" width="12.1640625" style="14" customWidth="1"/>
    <col min="13330" max="13337" width="8.83203125" style="14"/>
    <col min="13338" max="13338" width="10.5" style="14" bestFit="1" customWidth="1"/>
    <col min="13339" max="13340" width="8.83203125" style="14"/>
    <col min="13341" max="13341" width="14" style="14" customWidth="1"/>
    <col min="13342" max="13569" width="8.83203125" style="14"/>
    <col min="13570" max="13571" width="10.6640625" style="14" customWidth="1"/>
    <col min="13572" max="13572" width="30.6640625" style="14" customWidth="1"/>
    <col min="13573" max="13576" width="10.6640625" style="14" customWidth="1"/>
    <col min="13577" max="13577" width="13.33203125" style="14" bestFit="1" customWidth="1"/>
    <col min="13578" max="13578" width="12.1640625" style="14" customWidth="1"/>
    <col min="13579" max="13579" width="12.83203125" style="14" customWidth="1"/>
    <col min="13580" max="13580" width="12.1640625" style="14" customWidth="1"/>
    <col min="13581" max="13583" width="13.5" style="14" customWidth="1"/>
    <col min="13584" max="13585" width="12.1640625" style="14" customWidth="1"/>
    <col min="13586" max="13593" width="8.83203125" style="14"/>
    <col min="13594" max="13594" width="10.5" style="14" bestFit="1" customWidth="1"/>
    <col min="13595" max="13596" width="8.83203125" style="14"/>
    <col min="13597" max="13597" width="14" style="14" customWidth="1"/>
    <col min="13598" max="13825" width="8.83203125" style="14"/>
    <col min="13826" max="13827" width="10.6640625" style="14" customWidth="1"/>
    <col min="13828" max="13828" width="30.6640625" style="14" customWidth="1"/>
    <col min="13829" max="13832" width="10.6640625" style="14" customWidth="1"/>
    <col min="13833" max="13833" width="13.33203125" style="14" bestFit="1" customWidth="1"/>
    <col min="13834" max="13834" width="12.1640625" style="14" customWidth="1"/>
    <col min="13835" max="13835" width="12.83203125" style="14" customWidth="1"/>
    <col min="13836" max="13836" width="12.1640625" style="14" customWidth="1"/>
    <col min="13837" max="13839" width="13.5" style="14" customWidth="1"/>
    <col min="13840" max="13841" width="12.1640625" style="14" customWidth="1"/>
    <col min="13842" max="13849" width="8.83203125" style="14"/>
    <col min="13850" max="13850" width="10.5" style="14" bestFit="1" customWidth="1"/>
    <col min="13851" max="13852" width="8.83203125" style="14"/>
    <col min="13853" max="13853" width="14" style="14" customWidth="1"/>
    <col min="13854" max="14081" width="8.83203125" style="14"/>
    <col min="14082" max="14083" width="10.6640625" style="14" customWidth="1"/>
    <col min="14084" max="14084" width="30.6640625" style="14" customWidth="1"/>
    <col min="14085" max="14088" width="10.6640625" style="14" customWidth="1"/>
    <col min="14089" max="14089" width="13.33203125" style="14" bestFit="1" customWidth="1"/>
    <col min="14090" max="14090" width="12.1640625" style="14" customWidth="1"/>
    <col min="14091" max="14091" width="12.83203125" style="14" customWidth="1"/>
    <col min="14092" max="14092" width="12.1640625" style="14" customWidth="1"/>
    <col min="14093" max="14095" width="13.5" style="14" customWidth="1"/>
    <col min="14096" max="14097" width="12.1640625" style="14" customWidth="1"/>
    <col min="14098" max="14105" width="8.83203125" style="14"/>
    <col min="14106" max="14106" width="10.5" style="14" bestFit="1" customWidth="1"/>
    <col min="14107" max="14108" width="8.83203125" style="14"/>
    <col min="14109" max="14109" width="14" style="14" customWidth="1"/>
    <col min="14110" max="14337" width="8.83203125" style="14"/>
    <col min="14338" max="14339" width="10.6640625" style="14" customWidth="1"/>
    <col min="14340" max="14340" width="30.6640625" style="14" customWidth="1"/>
    <col min="14341" max="14344" width="10.6640625" style="14" customWidth="1"/>
    <col min="14345" max="14345" width="13.33203125" style="14" bestFit="1" customWidth="1"/>
    <col min="14346" max="14346" width="12.1640625" style="14" customWidth="1"/>
    <col min="14347" max="14347" width="12.83203125" style="14" customWidth="1"/>
    <col min="14348" max="14348" width="12.1640625" style="14" customWidth="1"/>
    <col min="14349" max="14351" width="13.5" style="14" customWidth="1"/>
    <col min="14352" max="14353" width="12.1640625" style="14" customWidth="1"/>
    <col min="14354" max="14361" width="8.83203125" style="14"/>
    <col min="14362" max="14362" width="10.5" style="14" bestFit="1" customWidth="1"/>
    <col min="14363" max="14364" width="8.83203125" style="14"/>
    <col min="14365" max="14365" width="14" style="14" customWidth="1"/>
    <col min="14366" max="14593" width="8.83203125" style="14"/>
    <col min="14594" max="14595" width="10.6640625" style="14" customWidth="1"/>
    <col min="14596" max="14596" width="30.6640625" style="14" customWidth="1"/>
    <col min="14597" max="14600" width="10.6640625" style="14" customWidth="1"/>
    <col min="14601" max="14601" width="13.33203125" style="14" bestFit="1" customWidth="1"/>
    <col min="14602" max="14602" width="12.1640625" style="14" customWidth="1"/>
    <col min="14603" max="14603" width="12.83203125" style="14" customWidth="1"/>
    <col min="14604" max="14604" width="12.1640625" style="14" customWidth="1"/>
    <col min="14605" max="14607" width="13.5" style="14" customWidth="1"/>
    <col min="14608" max="14609" width="12.1640625" style="14" customWidth="1"/>
    <col min="14610" max="14617" width="8.83203125" style="14"/>
    <col min="14618" max="14618" width="10.5" style="14" bestFit="1" customWidth="1"/>
    <col min="14619" max="14620" width="8.83203125" style="14"/>
    <col min="14621" max="14621" width="14" style="14" customWidth="1"/>
    <col min="14622" max="14849" width="8.83203125" style="14"/>
    <col min="14850" max="14851" width="10.6640625" style="14" customWidth="1"/>
    <col min="14852" max="14852" width="30.6640625" style="14" customWidth="1"/>
    <col min="14853" max="14856" width="10.6640625" style="14" customWidth="1"/>
    <col min="14857" max="14857" width="13.33203125" style="14" bestFit="1" customWidth="1"/>
    <col min="14858" max="14858" width="12.1640625" style="14" customWidth="1"/>
    <col min="14859" max="14859" width="12.83203125" style="14" customWidth="1"/>
    <col min="14860" max="14860" width="12.1640625" style="14" customWidth="1"/>
    <col min="14861" max="14863" width="13.5" style="14" customWidth="1"/>
    <col min="14864" max="14865" width="12.1640625" style="14" customWidth="1"/>
    <col min="14866" max="14873" width="8.83203125" style="14"/>
    <col min="14874" max="14874" width="10.5" style="14" bestFit="1" customWidth="1"/>
    <col min="14875" max="14876" width="8.83203125" style="14"/>
    <col min="14877" max="14877" width="14" style="14" customWidth="1"/>
    <col min="14878" max="15105" width="8.83203125" style="14"/>
    <col min="15106" max="15107" width="10.6640625" style="14" customWidth="1"/>
    <col min="15108" max="15108" width="30.6640625" style="14" customWidth="1"/>
    <col min="15109" max="15112" width="10.6640625" style="14" customWidth="1"/>
    <col min="15113" max="15113" width="13.33203125" style="14" bestFit="1" customWidth="1"/>
    <col min="15114" max="15114" width="12.1640625" style="14" customWidth="1"/>
    <col min="15115" max="15115" width="12.83203125" style="14" customWidth="1"/>
    <col min="15116" max="15116" width="12.1640625" style="14" customWidth="1"/>
    <col min="15117" max="15119" width="13.5" style="14" customWidth="1"/>
    <col min="15120" max="15121" width="12.1640625" style="14" customWidth="1"/>
    <col min="15122" max="15129" width="8.83203125" style="14"/>
    <col min="15130" max="15130" width="10.5" style="14" bestFit="1" customWidth="1"/>
    <col min="15131" max="15132" width="8.83203125" style="14"/>
    <col min="15133" max="15133" width="14" style="14" customWidth="1"/>
    <col min="15134" max="15361" width="8.83203125" style="14"/>
    <col min="15362" max="15363" width="10.6640625" style="14" customWidth="1"/>
    <col min="15364" max="15364" width="30.6640625" style="14" customWidth="1"/>
    <col min="15365" max="15368" width="10.6640625" style="14" customWidth="1"/>
    <col min="15369" max="15369" width="13.33203125" style="14" bestFit="1" customWidth="1"/>
    <col min="15370" max="15370" width="12.1640625" style="14" customWidth="1"/>
    <col min="15371" max="15371" width="12.83203125" style="14" customWidth="1"/>
    <col min="15372" max="15372" width="12.1640625" style="14" customWidth="1"/>
    <col min="15373" max="15375" width="13.5" style="14" customWidth="1"/>
    <col min="15376" max="15377" width="12.1640625" style="14" customWidth="1"/>
    <col min="15378" max="15385" width="8.83203125" style="14"/>
    <col min="15386" max="15386" width="10.5" style="14" bestFit="1" customWidth="1"/>
    <col min="15387" max="15388" width="8.83203125" style="14"/>
    <col min="15389" max="15389" width="14" style="14" customWidth="1"/>
    <col min="15390" max="15617" width="8.83203125" style="14"/>
    <col min="15618" max="15619" width="10.6640625" style="14" customWidth="1"/>
    <col min="15620" max="15620" width="30.6640625" style="14" customWidth="1"/>
    <col min="15621" max="15624" width="10.6640625" style="14" customWidth="1"/>
    <col min="15625" max="15625" width="13.33203125" style="14" bestFit="1" customWidth="1"/>
    <col min="15626" max="15626" width="12.1640625" style="14" customWidth="1"/>
    <col min="15627" max="15627" width="12.83203125" style="14" customWidth="1"/>
    <col min="15628" max="15628" width="12.1640625" style="14" customWidth="1"/>
    <col min="15629" max="15631" width="13.5" style="14" customWidth="1"/>
    <col min="15632" max="15633" width="12.1640625" style="14" customWidth="1"/>
    <col min="15634" max="15641" width="8.83203125" style="14"/>
    <col min="15642" max="15642" width="10.5" style="14" bestFit="1" customWidth="1"/>
    <col min="15643" max="15644" width="8.83203125" style="14"/>
    <col min="15645" max="15645" width="14" style="14" customWidth="1"/>
    <col min="15646" max="15873" width="8.83203125" style="14"/>
    <col min="15874" max="15875" width="10.6640625" style="14" customWidth="1"/>
    <col min="15876" max="15876" width="30.6640625" style="14" customWidth="1"/>
    <col min="15877" max="15880" width="10.6640625" style="14" customWidth="1"/>
    <col min="15881" max="15881" width="13.33203125" style="14" bestFit="1" customWidth="1"/>
    <col min="15882" max="15882" width="12.1640625" style="14" customWidth="1"/>
    <col min="15883" max="15883" width="12.83203125" style="14" customWidth="1"/>
    <col min="15884" max="15884" width="12.1640625" style="14" customWidth="1"/>
    <col min="15885" max="15887" width="13.5" style="14" customWidth="1"/>
    <col min="15888" max="15889" width="12.1640625" style="14" customWidth="1"/>
    <col min="15890" max="15897" width="8.83203125" style="14"/>
    <col min="15898" max="15898" width="10.5" style="14" bestFit="1" customWidth="1"/>
    <col min="15899" max="15900" width="8.83203125" style="14"/>
    <col min="15901" max="15901" width="14" style="14" customWidth="1"/>
    <col min="15902" max="16129" width="8.83203125" style="14"/>
    <col min="16130" max="16131" width="10.6640625" style="14" customWidth="1"/>
    <col min="16132" max="16132" width="30.6640625" style="14" customWidth="1"/>
    <col min="16133" max="16136" width="10.6640625" style="14" customWidth="1"/>
    <col min="16137" max="16137" width="13.33203125" style="14" bestFit="1" customWidth="1"/>
    <col min="16138" max="16138" width="12.1640625" style="14" customWidth="1"/>
    <col min="16139" max="16139" width="12.83203125" style="14" customWidth="1"/>
    <col min="16140" max="16140" width="12.1640625" style="14" customWidth="1"/>
    <col min="16141" max="16143" width="13.5" style="14" customWidth="1"/>
    <col min="16144" max="16145" width="12.1640625" style="14" customWidth="1"/>
    <col min="16146" max="16153" width="8.83203125" style="14"/>
    <col min="16154" max="16154" width="10.5" style="14" bestFit="1" customWidth="1"/>
    <col min="16155" max="16156" width="8.83203125" style="14"/>
    <col min="16157" max="16157" width="14" style="14" customWidth="1"/>
    <col min="16158" max="16384" width="8.83203125" style="14"/>
  </cols>
  <sheetData>
    <row r="1" spans="1:30" ht="25.5" customHeight="1">
      <c r="A1" s="5" t="s">
        <v>17</v>
      </c>
      <c r="B1" s="6"/>
      <c r="C1" s="6"/>
      <c r="D1" s="6"/>
      <c r="E1" s="6"/>
      <c r="F1" s="7"/>
      <c r="G1" s="8"/>
      <c r="H1" s="7"/>
      <c r="I1" s="7"/>
      <c r="J1" s="7"/>
      <c r="K1" s="7"/>
      <c r="L1" s="7"/>
      <c r="M1" s="6"/>
      <c r="N1" s="9"/>
      <c r="O1" s="10" t="s">
        <v>12</v>
      </c>
      <c r="P1" s="11"/>
      <c r="Q1" s="12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ht="12.75" customHeight="1">
      <c r="A2" s="7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6"/>
      <c r="N2" s="9"/>
      <c r="O2" s="15" t="s">
        <v>18</v>
      </c>
      <c r="P2" s="16"/>
      <c r="Q2" s="12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ht="12.75" customHeight="1">
      <c r="A3" s="8" t="s">
        <v>19</v>
      </c>
      <c r="B3" s="8"/>
      <c r="C3" s="8"/>
      <c r="D3" s="17"/>
      <c r="E3" s="6"/>
      <c r="F3" s="17"/>
      <c r="G3" s="7"/>
      <c r="H3" s="7"/>
      <c r="I3" s="17"/>
      <c r="J3" s="17"/>
      <c r="K3" s="17"/>
      <c r="L3" s="17"/>
      <c r="M3" s="6"/>
      <c r="N3" s="18"/>
      <c r="O3" s="19" t="s">
        <v>20</v>
      </c>
      <c r="P3" s="18"/>
      <c r="Q3" s="20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12.7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1"/>
      <c r="N4" s="22"/>
      <c r="O4" s="23" t="s">
        <v>62</v>
      </c>
      <c r="P4" s="22"/>
      <c r="Q4" s="6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</row>
    <row r="6" spans="1:30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13" thickBo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</row>
    <row r="8" spans="1:30" ht="13" thickBot="1">
      <c r="A8" s="28"/>
      <c r="B8" s="29"/>
      <c r="C8" s="31" t="s">
        <v>4</v>
      </c>
      <c r="D8" s="32">
        <v>51</v>
      </c>
      <c r="E8" s="33" t="s">
        <v>21</v>
      </c>
      <c r="F8" s="29"/>
      <c r="G8" s="29"/>
      <c r="H8" s="29"/>
      <c r="I8" s="34"/>
      <c r="J8" s="35"/>
      <c r="K8" s="35"/>
      <c r="L8" s="35"/>
      <c r="M8" s="35"/>
      <c r="N8" s="35"/>
      <c r="O8" s="36"/>
      <c r="P8" s="30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</row>
    <row r="9" spans="1:30">
      <c r="A9" s="28"/>
      <c r="B9" s="29"/>
      <c r="C9" s="29"/>
      <c r="D9" s="29"/>
      <c r="E9" s="29"/>
      <c r="F9" s="29"/>
      <c r="G9" s="29"/>
      <c r="H9" s="29"/>
      <c r="I9" s="37"/>
      <c r="J9" s="38"/>
      <c r="K9" s="38"/>
      <c r="L9" s="38"/>
      <c r="M9" s="38"/>
      <c r="N9" s="38"/>
      <c r="O9" s="39"/>
      <c r="P9" s="30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</row>
    <row r="10" spans="1:30" ht="13" thickBot="1">
      <c r="A10" s="28"/>
      <c r="B10" s="29"/>
      <c r="C10" s="29"/>
      <c r="D10" s="29"/>
      <c r="E10" s="29"/>
      <c r="F10" s="29"/>
      <c r="G10" s="29"/>
      <c r="H10" s="29"/>
      <c r="I10" s="37"/>
      <c r="J10" s="38"/>
      <c r="K10" s="38"/>
      <c r="L10" s="38"/>
      <c r="M10" s="38"/>
      <c r="N10" s="38"/>
      <c r="O10" s="39"/>
      <c r="P10" s="30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</row>
    <row r="11" spans="1:30" ht="13" thickBot="1">
      <c r="A11" s="28"/>
      <c r="B11" s="29"/>
      <c r="C11" s="31" t="s">
        <v>22</v>
      </c>
      <c r="D11" s="122">
        <f>N143</f>
        <v>-1.3699168675884721E-5</v>
      </c>
      <c r="E11" s="29"/>
      <c r="F11" s="31" t="s">
        <v>23</v>
      </c>
      <c r="G11" s="128">
        <f>SUM(Z34:Z93)</f>
        <v>0.11204945332592821</v>
      </c>
      <c r="H11" s="29"/>
      <c r="I11" s="37"/>
      <c r="J11" s="38"/>
      <c r="K11" s="38"/>
      <c r="L11" s="38"/>
      <c r="M11" s="38"/>
      <c r="N11" s="38"/>
      <c r="O11" s="39"/>
      <c r="P11" s="30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</row>
    <row r="12" spans="1:30" ht="13" thickBot="1">
      <c r="A12" s="28"/>
      <c r="B12" s="29"/>
      <c r="C12" s="29"/>
      <c r="D12" s="123"/>
      <c r="E12" s="29"/>
      <c r="F12" s="29"/>
      <c r="G12" s="129"/>
      <c r="H12" s="29"/>
      <c r="I12" s="37"/>
      <c r="J12" s="38"/>
      <c r="K12" s="38"/>
      <c r="L12" s="38"/>
      <c r="M12" s="38"/>
      <c r="N12" s="38"/>
      <c r="O12" s="39"/>
      <c r="P12" s="30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ht="13" thickBot="1">
      <c r="A13" s="28"/>
      <c r="B13" s="29"/>
      <c r="C13" s="31" t="s">
        <v>24</v>
      </c>
      <c r="D13" s="122">
        <f>N144</f>
        <v>0.25129716825358628</v>
      </c>
      <c r="E13" s="29"/>
      <c r="F13" s="31" t="s">
        <v>25</v>
      </c>
      <c r="G13" s="128">
        <f>SUM(AB34:AB93)</f>
        <v>9.6932964647533036E-10</v>
      </c>
      <c r="H13" s="29"/>
      <c r="I13" s="37"/>
      <c r="J13" s="38"/>
      <c r="K13" s="38"/>
      <c r="L13" s="38"/>
      <c r="M13" s="38"/>
      <c r="N13" s="38"/>
      <c r="O13" s="39"/>
      <c r="P13" s="30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</row>
    <row r="14" spans="1:30" ht="13" thickBot="1">
      <c r="A14" s="28"/>
      <c r="B14" s="29"/>
      <c r="C14" s="29"/>
      <c r="D14" s="123"/>
      <c r="E14" s="29"/>
      <c r="F14" s="29"/>
      <c r="G14" s="130"/>
      <c r="H14" s="29"/>
      <c r="I14" s="37"/>
      <c r="J14" s="38"/>
      <c r="K14" s="38"/>
      <c r="L14" s="38"/>
      <c r="M14" s="38"/>
      <c r="N14" s="38"/>
      <c r="O14" s="39"/>
      <c r="P14" s="30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0" ht="13" thickBot="1">
      <c r="A15" s="28"/>
      <c r="B15" s="29"/>
      <c r="C15" s="31" t="s">
        <v>26</v>
      </c>
      <c r="D15" s="122">
        <f>N145</f>
        <v>-2.9316787869902328E-2</v>
      </c>
      <c r="E15" s="29"/>
      <c r="F15" s="31" t="s">
        <v>27</v>
      </c>
      <c r="G15" s="128">
        <f>(G11-G13)/G11</f>
        <v>0.99999999134909079</v>
      </c>
      <c r="H15" s="29"/>
      <c r="I15" s="37"/>
      <c r="J15" s="38"/>
      <c r="K15" s="38"/>
      <c r="L15" s="38"/>
      <c r="M15" s="38"/>
      <c r="N15" s="38"/>
      <c r="O15" s="39"/>
      <c r="P15" s="30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ht="13" thickBot="1">
      <c r="A16" s="28"/>
      <c r="B16" s="29"/>
      <c r="C16" s="29"/>
      <c r="D16" s="123"/>
      <c r="E16" s="29"/>
      <c r="F16" s="29"/>
      <c r="G16" s="29"/>
      <c r="H16" s="29"/>
      <c r="I16" s="37"/>
      <c r="J16" s="38"/>
      <c r="K16" s="38"/>
      <c r="L16" s="38"/>
      <c r="M16" s="38"/>
      <c r="N16" s="38"/>
      <c r="O16" s="39"/>
      <c r="P16" s="30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 spans="1:30" ht="13" thickBot="1">
      <c r="A17" s="28"/>
      <c r="B17" s="29"/>
      <c r="C17" s="31" t="s">
        <v>28</v>
      </c>
      <c r="D17" s="122">
        <f>N146</f>
        <v>-0.24638094758847728</v>
      </c>
      <c r="E17" s="29"/>
      <c r="F17" s="29"/>
      <c r="G17" s="29"/>
      <c r="H17" s="29"/>
      <c r="I17" s="37"/>
      <c r="J17" s="38"/>
      <c r="K17" s="38"/>
      <c r="L17" s="38"/>
      <c r="M17" s="38"/>
      <c r="N17" s="38"/>
      <c r="O17" s="39"/>
      <c r="P17" s="30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13" thickBot="1">
      <c r="A18" s="28"/>
      <c r="B18" s="29"/>
      <c r="C18" s="29"/>
      <c r="D18" s="123"/>
      <c r="E18" s="29"/>
      <c r="F18" s="29"/>
      <c r="G18" s="29"/>
      <c r="H18" s="29"/>
      <c r="I18" s="37"/>
      <c r="J18" s="38"/>
      <c r="K18" s="38"/>
      <c r="L18" s="38"/>
      <c r="M18" s="38"/>
      <c r="N18" s="38"/>
      <c r="O18" s="39"/>
      <c r="P18" s="30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ht="13" thickBot="1">
      <c r="A19" s="28"/>
      <c r="B19" s="29"/>
      <c r="C19" s="31" t="s">
        <v>29</v>
      </c>
      <c r="D19" s="122">
        <f>N147</f>
        <v>0.34678762138355523</v>
      </c>
      <c r="E19" s="29"/>
      <c r="F19" s="29"/>
      <c r="G19" s="29"/>
      <c r="H19" s="29"/>
      <c r="I19" s="37"/>
      <c r="J19" s="38"/>
      <c r="K19" s="38"/>
      <c r="L19" s="38"/>
      <c r="M19" s="38"/>
      <c r="N19" s="38"/>
      <c r="O19" s="39"/>
      <c r="P19" s="30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ht="13" thickBot="1">
      <c r="A20" s="28"/>
      <c r="B20" s="29"/>
      <c r="C20" s="29"/>
      <c r="D20" s="123"/>
      <c r="E20" s="29"/>
      <c r="F20" s="29"/>
      <c r="G20" s="29"/>
      <c r="H20" s="29"/>
      <c r="I20" s="37"/>
      <c r="J20" s="38"/>
      <c r="K20" s="38"/>
      <c r="L20" s="38"/>
      <c r="M20" s="38"/>
      <c r="N20" s="38"/>
      <c r="O20" s="39"/>
      <c r="P20" s="30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ht="13" thickBot="1">
      <c r="A21" s="28"/>
      <c r="B21" s="29"/>
      <c r="C21" s="31" t="s">
        <v>30</v>
      </c>
      <c r="D21" s="122">
        <f>N148</f>
        <v>-0.21871692722197622</v>
      </c>
      <c r="E21" s="29"/>
      <c r="F21" s="29"/>
      <c r="G21" s="29"/>
      <c r="H21" s="29"/>
      <c r="I21" s="37"/>
      <c r="J21" s="38"/>
      <c r="K21" s="38"/>
      <c r="L21" s="38"/>
      <c r="M21" s="38"/>
      <c r="N21" s="38"/>
      <c r="O21" s="39"/>
      <c r="P21" s="30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ht="13" thickBot="1">
      <c r="A22" s="28"/>
      <c r="B22" s="29"/>
      <c r="C22" s="29"/>
      <c r="D22" s="123"/>
      <c r="E22" s="29"/>
      <c r="F22" s="29"/>
      <c r="G22" s="29"/>
      <c r="H22" s="29"/>
      <c r="I22" s="37"/>
      <c r="J22" s="38"/>
      <c r="K22" s="38"/>
      <c r="L22" s="38"/>
      <c r="M22" s="38"/>
      <c r="N22" s="38"/>
      <c r="O22" s="39"/>
      <c r="P22" s="30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 spans="1:30" ht="13" thickBot="1">
      <c r="A23" s="28"/>
      <c r="B23" s="29"/>
      <c r="C23" s="31" t="s">
        <v>31</v>
      </c>
      <c r="D23" s="122">
        <f>N149</f>
        <v>5.5506252014311031E-2</v>
      </c>
      <c r="E23" s="29"/>
      <c r="F23" s="29"/>
      <c r="G23" s="29"/>
      <c r="H23" s="29"/>
      <c r="I23" s="37"/>
      <c r="J23" s="38"/>
      <c r="K23" s="38"/>
      <c r="L23" s="38"/>
      <c r="M23" s="38"/>
      <c r="N23" s="38"/>
      <c r="O23" s="39"/>
      <c r="P23" s="30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spans="1:30">
      <c r="A24" s="28"/>
      <c r="B24" s="29"/>
      <c r="C24" s="29"/>
      <c r="D24" s="29"/>
      <c r="E24" s="29"/>
      <c r="F24" s="29"/>
      <c r="G24" s="29"/>
      <c r="H24" s="29"/>
      <c r="I24" s="37"/>
      <c r="J24" s="38"/>
      <c r="K24" s="38"/>
      <c r="L24" s="38"/>
      <c r="M24" s="38"/>
      <c r="N24" s="38"/>
      <c r="O24" s="39"/>
      <c r="P24" s="30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 spans="1:30">
      <c r="A25" s="28"/>
      <c r="B25" s="29"/>
      <c r="C25" s="29"/>
      <c r="D25" s="29"/>
      <c r="E25" s="29"/>
      <c r="F25" s="29"/>
      <c r="G25" s="29"/>
      <c r="H25" s="29"/>
      <c r="I25" s="37"/>
      <c r="J25" s="38"/>
      <c r="K25" s="38"/>
      <c r="L25" s="38"/>
      <c r="M25" s="38"/>
      <c r="N25" s="38"/>
      <c r="O25" s="39"/>
      <c r="P25" s="30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0">
      <c r="A26" s="28"/>
      <c r="B26" s="29"/>
      <c r="C26" s="29"/>
      <c r="D26" s="29"/>
      <c r="E26" s="29"/>
      <c r="F26" s="29"/>
      <c r="G26" s="29"/>
      <c r="H26" s="29"/>
      <c r="I26" s="37"/>
      <c r="J26" s="38"/>
      <c r="K26" s="38"/>
      <c r="L26" s="38"/>
      <c r="M26" s="38"/>
      <c r="N26" s="38"/>
      <c r="O26" s="39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0">
      <c r="A27" s="28"/>
      <c r="B27" s="29"/>
      <c r="C27" s="29"/>
      <c r="D27" s="29"/>
      <c r="E27" s="29"/>
      <c r="F27" s="29"/>
      <c r="G27" s="29"/>
      <c r="H27" s="29"/>
      <c r="I27" s="44"/>
      <c r="J27" s="45"/>
      <c r="K27" s="45"/>
      <c r="L27" s="45"/>
      <c r="M27" s="45"/>
      <c r="N27" s="45"/>
      <c r="O27" s="46"/>
      <c r="P27" s="30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ht="13" thickBo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0">
      <c r="A30" s="28"/>
      <c r="B30" s="47"/>
      <c r="C30" s="48"/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49"/>
      <c r="P30" s="30"/>
      <c r="Q30" s="27"/>
      <c r="R30" s="47"/>
      <c r="S30" s="52"/>
      <c r="T30" s="52"/>
      <c r="U30" s="52"/>
      <c r="V30" s="52"/>
      <c r="W30" s="52"/>
      <c r="X30" s="52"/>
      <c r="Y30" s="27"/>
      <c r="Z30" s="47"/>
      <c r="AA30" s="47"/>
      <c r="AB30" s="52"/>
      <c r="AC30" s="27"/>
      <c r="AD30" s="27"/>
    </row>
    <row r="31" spans="1:30">
      <c r="A31" s="28"/>
      <c r="B31" s="53" t="s">
        <v>32</v>
      </c>
      <c r="C31" s="54" t="s">
        <v>33</v>
      </c>
      <c r="D31" s="55" t="s">
        <v>34</v>
      </c>
      <c r="E31" s="56" t="s">
        <v>35</v>
      </c>
      <c r="F31" s="57" t="s">
        <v>36</v>
      </c>
      <c r="G31" s="57" t="s">
        <v>37</v>
      </c>
      <c r="H31" s="57" t="s">
        <v>38</v>
      </c>
      <c r="I31" s="57" t="s">
        <v>39</v>
      </c>
      <c r="J31" s="57" t="s">
        <v>40</v>
      </c>
      <c r="K31" s="57" t="s">
        <v>41</v>
      </c>
      <c r="L31" s="57" t="s">
        <v>42</v>
      </c>
      <c r="M31" s="57" t="s">
        <v>43</v>
      </c>
      <c r="N31" s="57" t="s">
        <v>44</v>
      </c>
      <c r="O31" s="55" t="s">
        <v>45</v>
      </c>
      <c r="P31" s="30"/>
      <c r="Q31" s="27"/>
      <c r="R31" s="53" t="s">
        <v>34</v>
      </c>
      <c r="S31" s="58" t="s">
        <v>63</v>
      </c>
      <c r="T31" s="58" t="s">
        <v>46</v>
      </c>
      <c r="U31" s="58" t="s">
        <v>47</v>
      </c>
      <c r="V31" s="58" t="s">
        <v>48</v>
      </c>
      <c r="W31" s="58" t="s">
        <v>49</v>
      </c>
      <c r="X31" s="58" t="s">
        <v>50</v>
      </c>
      <c r="Y31" s="27"/>
      <c r="Z31" s="53" t="s">
        <v>51</v>
      </c>
      <c r="AA31" s="53" t="s">
        <v>52</v>
      </c>
      <c r="AB31" s="58" t="s">
        <v>53</v>
      </c>
      <c r="AC31" s="27"/>
      <c r="AD31" s="27"/>
    </row>
    <row r="32" spans="1:30" ht="13" thickBot="1">
      <c r="A32" s="28"/>
      <c r="B32" s="59"/>
      <c r="C32" s="60"/>
      <c r="D32" s="61"/>
      <c r="E32" s="62"/>
      <c r="F32" s="63"/>
      <c r="G32" s="63"/>
      <c r="H32" s="63"/>
      <c r="I32" s="63"/>
      <c r="J32" s="63"/>
      <c r="K32" s="63"/>
      <c r="L32" s="63"/>
      <c r="M32" s="63"/>
      <c r="N32" s="63"/>
      <c r="O32" s="61"/>
      <c r="P32" s="30"/>
      <c r="Q32" s="27"/>
      <c r="R32" s="59"/>
      <c r="S32" s="64"/>
      <c r="T32" s="64"/>
      <c r="U32" s="64"/>
      <c r="V32" s="64"/>
      <c r="W32" s="64"/>
      <c r="X32" s="64"/>
      <c r="Y32" s="27"/>
      <c r="Z32" s="59"/>
      <c r="AA32" s="59"/>
      <c r="AB32" s="64"/>
      <c r="AC32" s="27"/>
      <c r="AD32" s="27"/>
    </row>
    <row r="33" spans="1:30">
      <c r="A33" s="28"/>
      <c r="B33" s="65"/>
      <c r="C33" s="66"/>
      <c r="D33" s="67"/>
      <c r="E33" s="68"/>
      <c r="F33" s="69"/>
      <c r="G33" s="69"/>
      <c r="H33" s="69"/>
      <c r="I33" s="69"/>
      <c r="J33" s="69"/>
      <c r="K33" s="69"/>
      <c r="L33" s="70"/>
      <c r="M33" s="69"/>
      <c r="N33" s="69"/>
      <c r="O33" s="70"/>
      <c r="P33" s="30"/>
      <c r="Q33" s="27"/>
      <c r="R33" s="69"/>
      <c r="S33" s="69"/>
      <c r="T33" s="69"/>
      <c r="U33" s="69"/>
      <c r="V33" s="69"/>
      <c r="W33" s="71"/>
      <c r="X33" s="72"/>
      <c r="Y33" s="27"/>
      <c r="Z33" s="73"/>
      <c r="AA33" s="73"/>
      <c r="AB33" s="70"/>
      <c r="AC33" s="27"/>
      <c r="AD33" s="27"/>
    </row>
    <row r="34" spans="1:30">
      <c r="A34" s="74">
        <f t="shared" ref="A34:A84" si="0">IF(C34="",0,1)</f>
        <v>1</v>
      </c>
      <c r="B34" s="119">
        <v>1</v>
      </c>
      <c r="C34" s="127">
        <v>1E-3</v>
      </c>
      <c r="D34" s="84">
        <v>2.5000000000000001E-4</v>
      </c>
      <c r="E34" s="124">
        <f t="shared" ref="E34:E93" si="1">IF(C34="","",$C34^2)</f>
        <v>9.9999999999999995E-7</v>
      </c>
      <c r="F34" s="125">
        <f t="shared" ref="F34:F93" si="2">IF(C34="","",C34^3)</f>
        <v>1.0000000000000001E-9</v>
      </c>
      <c r="G34" s="125">
        <f t="shared" ref="G34:G93" si="3">IF(C34="","",C34^4)</f>
        <v>9.9999999999999998E-13</v>
      </c>
      <c r="H34" s="125">
        <f t="shared" ref="H34:H93" si="4">IF(C34="","",C34^5)</f>
        <v>1.0000000000000001E-15</v>
      </c>
      <c r="I34" s="125">
        <f t="shared" ref="I34:I93" si="5">IF(C34="","",C34^6)</f>
        <v>9.9999999999999988E-19</v>
      </c>
      <c r="J34" s="125">
        <f t="shared" ref="J34:J93" si="6">IF(C34="","",C34^7)</f>
        <v>1.0000000000000001E-21</v>
      </c>
      <c r="K34" s="125">
        <f t="shared" ref="K34:K93" si="7">IF(C34="","",C34^8)</f>
        <v>9.9999999999999992E-25</v>
      </c>
      <c r="L34" s="126">
        <f t="shared" ref="L34:L93" si="8">IF(C34="","",C34^9)</f>
        <v>9.9999999999999986E-28</v>
      </c>
      <c r="M34" s="125">
        <f t="shared" ref="M34:M93" si="9">IF(C34="","",C34^10)</f>
        <v>9.9999999999999991E-31</v>
      </c>
      <c r="N34" s="125">
        <f t="shared" ref="N34:N93" si="10">IF(C34="","",C34^11)</f>
        <v>1.0000000000000001E-33</v>
      </c>
      <c r="O34" s="126">
        <f t="shared" ref="O34:O93" si="11">IF(C34="","",C34^12)</f>
        <v>9.9999999999999994E-37</v>
      </c>
      <c r="P34" s="30"/>
      <c r="Q34" s="27"/>
      <c r="R34" s="80">
        <f t="shared" ref="R34:R90" si="12">IF(C34="","",D34)</f>
        <v>2.5000000000000001E-4</v>
      </c>
      <c r="S34" s="80">
        <f t="shared" ref="S34:S90" si="13">IF(C34="","",C34*D34)</f>
        <v>2.4999999999999999E-7</v>
      </c>
      <c r="T34" s="80">
        <f t="shared" ref="T34:T90" si="14">IF(C34="","",C34^2*D34)</f>
        <v>2.5000000000000002E-10</v>
      </c>
      <c r="U34" s="80">
        <f t="shared" ref="U34:U90" si="15">IF(C34="","",C34^3*D34)</f>
        <v>2.5000000000000005E-13</v>
      </c>
      <c r="V34" s="80">
        <f t="shared" ref="V34:V90" si="16">IF(C34="","",C34^4*D34)</f>
        <v>2.5000000000000002E-16</v>
      </c>
      <c r="W34" s="80">
        <f t="shared" ref="W34:W90" si="17">IF(C34="","",C34^5*D34)</f>
        <v>2.5000000000000002E-19</v>
      </c>
      <c r="X34" s="81">
        <f t="shared" ref="X34:X90" si="18">IF(C34="","",C34^6*D34)</f>
        <v>2.4999999999999998E-22</v>
      </c>
      <c r="Y34" s="82"/>
      <c r="Z34" s="83">
        <f t="shared" ref="Z34:Z93" si="19">IF(C34="","",(D34-AVERAGE(D$34:D$93))^2)</f>
        <v>8.9390280930688841E-3</v>
      </c>
      <c r="AA34" s="80">
        <f t="shared" ref="AA34:AA90" si="20">IF(C34="","",$N$143+$N$144*C34+$N$145*C34^2+$N$146*C34^3+$N$147*C34^4+$N$148*C34^5+$N$149*C34^6)</f>
        <v>2.3756843675545302E-4</v>
      </c>
      <c r="AB34" s="81">
        <f t="shared" ref="AB34:AB90" si="21">IF(C34="","",(AA34-D34)^2)</f>
        <v>1.5454376470317144E-10</v>
      </c>
      <c r="AC34" s="27"/>
      <c r="AD34" s="27"/>
    </row>
    <row r="35" spans="1:30">
      <c r="A35" s="74">
        <f t="shared" si="0"/>
        <v>1</v>
      </c>
      <c r="B35" s="119">
        <v>2</v>
      </c>
      <c r="C35" s="127">
        <v>0.02</v>
      </c>
      <c r="D35" s="84">
        <v>4.9960068345585983E-3</v>
      </c>
      <c r="E35" s="124">
        <f t="shared" si="1"/>
        <v>4.0000000000000002E-4</v>
      </c>
      <c r="F35" s="125">
        <f t="shared" si="2"/>
        <v>8.0000000000000013E-6</v>
      </c>
      <c r="G35" s="125">
        <f t="shared" si="3"/>
        <v>1.6E-7</v>
      </c>
      <c r="H35" s="125">
        <f t="shared" si="4"/>
        <v>3.2000000000000001E-9</v>
      </c>
      <c r="I35" s="125">
        <f t="shared" si="5"/>
        <v>6.3999999999999999E-11</v>
      </c>
      <c r="J35" s="125">
        <f t="shared" si="6"/>
        <v>1.2800000000000002E-12</v>
      </c>
      <c r="K35" s="125">
        <f t="shared" si="7"/>
        <v>2.5600000000000003E-14</v>
      </c>
      <c r="L35" s="126">
        <f t="shared" si="8"/>
        <v>5.1200000000000004E-16</v>
      </c>
      <c r="M35" s="125">
        <f t="shared" si="9"/>
        <v>1.0240000000000001E-17</v>
      </c>
      <c r="N35" s="125">
        <f t="shared" si="10"/>
        <v>2.0480000000000006E-19</v>
      </c>
      <c r="O35" s="126">
        <f t="shared" si="11"/>
        <v>4.0960000000000004E-21</v>
      </c>
      <c r="P35" s="30"/>
      <c r="Q35" s="27"/>
      <c r="R35" s="80">
        <f t="shared" si="12"/>
        <v>4.9960068345585983E-3</v>
      </c>
      <c r="S35" s="80">
        <f t="shared" si="13"/>
        <v>9.9920136691171964E-5</v>
      </c>
      <c r="T35" s="80">
        <f t="shared" si="14"/>
        <v>1.9984027338234395E-6</v>
      </c>
      <c r="U35" s="80">
        <f t="shared" si="15"/>
        <v>3.9968054676468796E-8</v>
      </c>
      <c r="V35" s="80">
        <f t="shared" si="16"/>
        <v>7.9936109352937579E-10</v>
      </c>
      <c r="W35" s="80">
        <f t="shared" si="17"/>
        <v>1.5987221870587516E-11</v>
      </c>
      <c r="X35" s="81">
        <f t="shared" si="18"/>
        <v>3.1974443741175026E-13</v>
      </c>
      <c r="Y35" s="82"/>
      <c r="Z35" s="83">
        <f t="shared" si="19"/>
        <v>8.0641166345182466E-3</v>
      </c>
      <c r="AA35" s="80">
        <f t="shared" si="20"/>
        <v>4.998601223344828E-3</v>
      </c>
      <c r="AB35" s="81">
        <f t="shared" si="21"/>
        <v>6.7308531741140689E-12</v>
      </c>
      <c r="AC35" s="27"/>
      <c r="AD35" s="27"/>
    </row>
    <row r="36" spans="1:30">
      <c r="A36" s="74">
        <f t="shared" si="0"/>
        <v>1</v>
      </c>
      <c r="B36" s="119">
        <v>3</v>
      </c>
      <c r="C36" s="127">
        <v>0.04</v>
      </c>
      <c r="D36" s="84">
        <v>9.967896729830247E-3</v>
      </c>
      <c r="E36" s="124">
        <f t="shared" si="1"/>
        <v>1.6000000000000001E-3</v>
      </c>
      <c r="F36" s="125">
        <f t="shared" si="2"/>
        <v>6.4000000000000011E-5</v>
      </c>
      <c r="G36" s="125">
        <f t="shared" si="3"/>
        <v>2.5600000000000001E-6</v>
      </c>
      <c r="H36" s="125">
        <f t="shared" si="4"/>
        <v>1.024E-7</v>
      </c>
      <c r="I36" s="125">
        <f t="shared" si="5"/>
        <v>4.0959999999999999E-9</v>
      </c>
      <c r="J36" s="125">
        <f t="shared" si="6"/>
        <v>1.6384000000000003E-10</v>
      </c>
      <c r="K36" s="125">
        <f t="shared" si="7"/>
        <v>6.5536000000000007E-12</v>
      </c>
      <c r="L36" s="126">
        <f t="shared" si="8"/>
        <v>2.6214400000000002E-13</v>
      </c>
      <c r="M36" s="125">
        <f t="shared" si="9"/>
        <v>1.0485760000000001E-14</v>
      </c>
      <c r="N36" s="125">
        <f t="shared" si="10"/>
        <v>4.1943040000000012E-16</v>
      </c>
      <c r="O36" s="126">
        <f t="shared" si="11"/>
        <v>1.6777216000000002E-17</v>
      </c>
      <c r="P36" s="30"/>
      <c r="Q36" s="27"/>
      <c r="R36" s="80">
        <f t="shared" si="12"/>
        <v>9.967896729830247E-3</v>
      </c>
      <c r="S36" s="80">
        <f t="shared" si="13"/>
        <v>3.9871586919320987E-4</v>
      </c>
      <c r="T36" s="80">
        <f t="shared" si="14"/>
        <v>1.5948634767728395E-5</v>
      </c>
      <c r="U36" s="80">
        <f t="shared" si="15"/>
        <v>6.3794539070913595E-7</v>
      </c>
      <c r="V36" s="80">
        <f t="shared" si="16"/>
        <v>2.5517815628365434E-8</v>
      </c>
      <c r="W36" s="80">
        <f t="shared" si="17"/>
        <v>1.0207126251346173E-9</v>
      </c>
      <c r="X36" s="81">
        <f t="shared" si="18"/>
        <v>4.0828505005384693E-11</v>
      </c>
      <c r="Y36" s="82"/>
      <c r="Z36" s="83">
        <f t="shared" si="19"/>
        <v>7.1958806555017978E-3</v>
      </c>
      <c r="AA36" s="80">
        <f t="shared" si="20"/>
        <v>9.9763779272810642E-3</v>
      </c>
      <c r="AB36" s="81">
        <f t="shared" si="21"/>
        <v>7.1930710199749332E-11</v>
      </c>
      <c r="AC36" s="27"/>
      <c r="AD36" s="27"/>
    </row>
    <row r="37" spans="1:30">
      <c r="A37" s="74">
        <f t="shared" si="0"/>
        <v>1</v>
      </c>
      <c r="B37" s="75">
        <v>4</v>
      </c>
      <c r="C37" s="127">
        <v>0.06</v>
      </c>
      <c r="D37" s="84">
        <v>1.4901069428610272E-2</v>
      </c>
      <c r="E37" s="124">
        <f t="shared" si="1"/>
        <v>3.5999999999999999E-3</v>
      </c>
      <c r="F37" s="125">
        <f t="shared" si="2"/>
        <v>2.1599999999999999E-4</v>
      </c>
      <c r="G37" s="125">
        <f t="shared" si="3"/>
        <v>1.296E-5</v>
      </c>
      <c r="H37" s="125">
        <f t="shared" si="4"/>
        <v>7.7759999999999997E-7</v>
      </c>
      <c r="I37" s="125">
        <f t="shared" si="5"/>
        <v>4.6655999999999998E-8</v>
      </c>
      <c r="J37" s="125">
        <f t="shared" si="6"/>
        <v>2.7993599999999997E-9</v>
      </c>
      <c r="K37" s="125">
        <f t="shared" si="7"/>
        <v>1.679616E-10</v>
      </c>
      <c r="L37" s="126">
        <f t="shared" si="8"/>
        <v>1.0077696E-11</v>
      </c>
      <c r="M37" s="125">
        <f t="shared" si="9"/>
        <v>6.0466175999999996E-13</v>
      </c>
      <c r="N37" s="125">
        <f t="shared" si="10"/>
        <v>3.62797056E-14</v>
      </c>
      <c r="O37" s="126">
        <f t="shared" si="11"/>
        <v>2.1767823359999997E-15</v>
      </c>
      <c r="P37" s="30"/>
      <c r="Q37" s="27"/>
      <c r="R37" s="80">
        <f t="shared" si="12"/>
        <v>1.4901069428610272E-2</v>
      </c>
      <c r="S37" s="80">
        <f t="shared" si="13"/>
        <v>8.9406416571661629E-4</v>
      </c>
      <c r="T37" s="80">
        <f t="shared" si="14"/>
        <v>5.364384994299698E-5</v>
      </c>
      <c r="U37" s="80">
        <f t="shared" si="15"/>
        <v>3.2186309965798184E-6</v>
      </c>
      <c r="V37" s="80">
        <f t="shared" si="16"/>
        <v>1.9311785979478911E-7</v>
      </c>
      <c r="W37" s="80">
        <f t="shared" si="17"/>
        <v>1.1587071587687347E-8</v>
      </c>
      <c r="X37" s="81">
        <f t="shared" si="18"/>
        <v>6.9522429526124081E-10</v>
      </c>
      <c r="Y37" s="82"/>
      <c r="Z37" s="83">
        <f t="shared" si="19"/>
        <v>6.383269204746746E-3</v>
      </c>
      <c r="AA37" s="80">
        <f t="shared" si="20"/>
        <v>1.4909699088518748E-2</v>
      </c>
      <c r="AB37" s="81">
        <f t="shared" si="21"/>
        <v>7.4471030135964959E-11</v>
      </c>
      <c r="AC37" s="27"/>
      <c r="AD37" s="27"/>
    </row>
    <row r="38" spans="1:30">
      <c r="A38" s="74">
        <f t="shared" si="0"/>
        <v>1</v>
      </c>
      <c r="B38" s="75">
        <v>5</v>
      </c>
      <c r="C38" s="127">
        <v>0.08</v>
      </c>
      <c r="D38" s="84">
        <v>1.9783803029272292E-2</v>
      </c>
      <c r="E38" s="124">
        <f t="shared" si="1"/>
        <v>6.4000000000000003E-3</v>
      </c>
      <c r="F38" s="125">
        <f t="shared" si="2"/>
        <v>5.1200000000000009E-4</v>
      </c>
      <c r="G38" s="125">
        <f t="shared" si="3"/>
        <v>4.0960000000000001E-5</v>
      </c>
      <c r="H38" s="125">
        <f t="shared" si="4"/>
        <v>3.2768000000000001E-6</v>
      </c>
      <c r="I38" s="125">
        <f t="shared" si="5"/>
        <v>2.6214399999999999E-7</v>
      </c>
      <c r="J38" s="125">
        <f t="shared" si="6"/>
        <v>2.0971520000000003E-8</v>
      </c>
      <c r="K38" s="125">
        <f t="shared" si="7"/>
        <v>1.6777216000000002E-9</v>
      </c>
      <c r="L38" s="126">
        <f t="shared" si="8"/>
        <v>1.3421772800000001E-10</v>
      </c>
      <c r="M38" s="125">
        <f t="shared" si="9"/>
        <v>1.0737418240000001E-11</v>
      </c>
      <c r="N38" s="125">
        <f t="shared" si="10"/>
        <v>8.5899345920000024E-13</v>
      </c>
      <c r="O38" s="126">
        <f t="shared" si="11"/>
        <v>6.8719476736000007E-14</v>
      </c>
      <c r="P38" s="30"/>
      <c r="Q38" s="27"/>
      <c r="R38" s="80">
        <f t="shared" si="12"/>
        <v>1.9783803029272292E-2</v>
      </c>
      <c r="S38" s="80">
        <f t="shared" si="13"/>
        <v>1.5827042423417835E-3</v>
      </c>
      <c r="T38" s="80">
        <f t="shared" si="14"/>
        <v>1.2661633938734269E-4</v>
      </c>
      <c r="U38" s="80">
        <f t="shared" si="15"/>
        <v>1.0129307150987415E-5</v>
      </c>
      <c r="V38" s="80">
        <f t="shared" si="16"/>
        <v>8.1034457207899313E-7</v>
      </c>
      <c r="W38" s="80">
        <f t="shared" si="17"/>
        <v>6.4827565766319443E-8</v>
      </c>
      <c r="X38" s="81">
        <f t="shared" si="18"/>
        <v>5.1862052613055557E-9</v>
      </c>
      <c r="Y38" s="82"/>
      <c r="Z38" s="83">
        <f t="shared" si="19"/>
        <v>5.6268947345007939E-3</v>
      </c>
      <c r="AA38" s="80">
        <f t="shared" si="20"/>
        <v>1.9789802084054019E-2</v>
      </c>
      <c r="AB38" s="81">
        <f t="shared" si="21"/>
        <v>3.5988658274165819E-11</v>
      </c>
      <c r="AC38" s="27"/>
      <c r="AD38" s="27"/>
    </row>
    <row r="39" spans="1:30">
      <c r="A39" s="74">
        <f t="shared" si="0"/>
        <v>1</v>
      </c>
      <c r="B39" s="75">
        <v>6</v>
      </c>
      <c r="C39" s="127">
        <v>0.1</v>
      </c>
      <c r="D39" s="84">
        <v>2.4606589392309166E-2</v>
      </c>
      <c r="E39" s="124">
        <f t="shared" si="1"/>
        <v>1.0000000000000002E-2</v>
      </c>
      <c r="F39" s="125">
        <f t="shared" si="2"/>
        <v>1.0000000000000002E-3</v>
      </c>
      <c r="G39" s="125">
        <f t="shared" si="3"/>
        <v>1.0000000000000005E-4</v>
      </c>
      <c r="H39" s="125">
        <f t="shared" si="4"/>
        <v>1.0000000000000006E-5</v>
      </c>
      <c r="I39" s="125">
        <f t="shared" si="5"/>
        <v>1.0000000000000006E-6</v>
      </c>
      <c r="J39" s="125">
        <f t="shared" si="6"/>
        <v>1.0000000000000007E-7</v>
      </c>
      <c r="K39" s="125">
        <f t="shared" si="7"/>
        <v>1.0000000000000008E-8</v>
      </c>
      <c r="L39" s="126">
        <f t="shared" si="8"/>
        <v>1.0000000000000009E-9</v>
      </c>
      <c r="M39" s="125">
        <f t="shared" si="9"/>
        <v>1.0000000000000011E-10</v>
      </c>
      <c r="N39" s="125">
        <f t="shared" si="10"/>
        <v>1.0000000000000011E-11</v>
      </c>
      <c r="O39" s="126">
        <f t="shared" si="11"/>
        <v>1.0000000000000014E-12</v>
      </c>
      <c r="P39" s="30"/>
      <c r="Q39" s="27"/>
      <c r="R39" s="80">
        <f t="shared" si="12"/>
        <v>2.4606589392309166E-2</v>
      </c>
      <c r="S39" s="80">
        <f t="shared" si="13"/>
        <v>2.4606589392309167E-3</v>
      </c>
      <c r="T39" s="80">
        <f t="shared" si="14"/>
        <v>2.460658939230917E-4</v>
      </c>
      <c r="U39" s="80">
        <f t="shared" si="15"/>
        <v>2.4606589392309173E-5</v>
      </c>
      <c r="V39" s="80">
        <f t="shared" si="16"/>
        <v>2.4606589392309175E-6</v>
      </c>
      <c r="W39" s="80">
        <f t="shared" si="17"/>
        <v>2.460658939230918E-7</v>
      </c>
      <c r="X39" s="81">
        <f t="shared" si="18"/>
        <v>2.460658939230918E-8</v>
      </c>
      <c r="Y39" s="82"/>
      <c r="Z39" s="83">
        <f t="shared" si="19"/>
        <v>4.9266142199442878E-3</v>
      </c>
      <c r="AA39" s="80">
        <f t="shared" si="20"/>
        <v>2.4609015929513395E-2</v>
      </c>
      <c r="AB39" s="81">
        <f t="shared" si="21"/>
        <v>5.8880828035066893E-12</v>
      </c>
      <c r="AC39" s="27"/>
      <c r="AD39" s="27"/>
    </row>
    <row r="40" spans="1:30">
      <c r="A40" s="74">
        <f t="shared" si="0"/>
        <v>1</v>
      </c>
      <c r="B40" s="75">
        <v>7</v>
      </c>
      <c r="C40" s="127">
        <v>0.12</v>
      </c>
      <c r="D40" s="84">
        <v>2.9361684750365779E-2</v>
      </c>
      <c r="E40" s="124">
        <f t="shared" si="1"/>
        <v>1.44E-2</v>
      </c>
      <c r="F40" s="125">
        <f t="shared" si="2"/>
        <v>1.7279999999999999E-3</v>
      </c>
      <c r="G40" s="125">
        <f t="shared" si="3"/>
        <v>2.0735999999999999E-4</v>
      </c>
      <c r="H40" s="125">
        <f t="shared" si="4"/>
        <v>2.4883199999999999E-5</v>
      </c>
      <c r="I40" s="125">
        <f t="shared" si="5"/>
        <v>2.9859839999999999E-6</v>
      </c>
      <c r="J40" s="125">
        <f t="shared" si="6"/>
        <v>3.5831807999999997E-7</v>
      </c>
      <c r="K40" s="125">
        <f t="shared" si="7"/>
        <v>4.29981696E-8</v>
      </c>
      <c r="L40" s="126">
        <f t="shared" si="8"/>
        <v>5.1597803520000001E-9</v>
      </c>
      <c r="M40" s="125">
        <f t="shared" si="9"/>
        <v>6.1917364223999996E-10</v>
      </c>
      <c r="N40" s="125">
        <f t="shared" si="10"/>
        <v>7.4300837068800001E-11</v>
      </c>
      <c r="O40" s="126">
        <f t="shared" si="11"/>
        <v>8.9161004482559989E-12</v>
      </c>
      <c r="P40" s="30"/>
      <c r="Q40" s="27"/>
      <c r="R40" s="80">
        <f t="shared" si="12"/>
        <v>2.9361684750365779E-2</v>
      </c>
      <c r="S40" s="80">
        <f t="shared" si="13"/>
        <v>3.5234021700438932E-3</v>
      </c>
      <c r="T40" s="80">
        <f t="shared" si="14"/>
        <v>4.2280826040526722E-4</v>
      </c>
      <c r="U40" s="80">
        <f t="shared" si="15"/>
        <v>5.0736991248632062E-5</v>
      </c>
      <c r="V40" s="80">
        <f t="shared" si="16"/>
        <v>6.0884389498358476E-6</v>
      </c>
      <c r="W40" s="80">
        <f t="shared" si="17"/>
        <v>7.3061267398030168E-7</v>
      </c>
      <c r="X40" s="81">
        <f t="shared" si="18"/>
        <v>8.7673520877636209E-8</v>
      </c>
      <c r="Y40" s="82"/>
      <c r="Z40" s="83">
        <f t="shared" si="19"/>
        <v>4.2817063477335405E-3</v>
      </c>
      <c r="AA40" s="80">
        <f t="shared" si="20"/>
        <v>2.9360686243902045E-2</v>
      </c>
      <c r="AB40" s="81">
        <f t="shared" si="21"/>
        <v>9.9701515811881099E-13</v>
      </c>
      <c r="AC40" s="27"/>
      <c r="AD40" s="27"/>
    </row>
    <row r="41" spans="1:30">
      <c r="A41" s="74">
        <f t="shared" si="0"/>
        <v>1</v>
      </c>
      <c r="B41" s="75">
        <v>8</v>
      </c>
      <c r="C41" s="127">
        <v>0.14000000000000001</v>
      </c>
      <c r="D41" s="84">
        <v>3.4042791345359917E-2</v>
      </c>
      <c r="E41" s="124">
        <f t="shared" si="1"/>
        <v>1.9600000000000003E-2</v>
      </c>
      <c r="F41" s="125">
        <f t="shared" si="2"/>
        <v>2.7440000000000008E-3</v>
      </c>
      <c r="G41" s="125">
        <f t="shared" si="3"/>
        <v>3.8416000000000009E-4</v>
      </c>
      <c r="H41" s="125">
        <f t="shared" si="4"/>
        <v>5.3782400000000016E-5</v>
      </c>
      <c r="I41" s="125">
        <f t="shared" si="5"/>
        <v>7.5295360000000032E-6</v>
      </c>
      <c r="J41" s="125">
        <f t="shared" si="6"/>
        <v>1.0541350400000005E-6</v>
      </c>
      <c r="K41" s="125">
        <f t="shared" si="7"/>
        <v>1.4757890560000008E-7</v>
      </c>
      <c r="L41" s="126">
        <f t="shared" si="8"/>
        <v>2.0661046784000011E-8</v>
      </c>
      <c r="M41" s="125">
        <f t="shared" si="9"/>
        <v>2.8925465497600019E-9</v>
      </c>
      <c r="N41" s="125">
        <f t="shared" si="10"/>
        <v>4.0495651696640033E-10</v>
      </c>
      <c r="O41" s="126">
        <f t="shared" si="11"/>
        <v>5.6693912375296041E-11</v>
      </c>
      <c r="P41" s="30"/>
      <c r="Q41" s="27"/>
      <c r="R41" s="80">
        <f t="shared" si="12"/>
        <v>3.4042791345359917E-2</v>
      </c>
      <c r="S41" s="80">
        <f t="shared" si="13"/>
        <v>4.7659907883503888E-3</v>
      </c>
      <c r="T41" s="80">
        <f t="shared" si="14"/>
        <v>6.672387103690545E-4</v>
      </c>
      <c r="U41" s="80">
        <f t="shared" si="15"/>
        <v>9.3413419451667635E-5</v>
      </c>
      <c r="V41" s="80">
        <f t="shared" si="16"/>
        <v>1.3077878723233468E-5</v>
      </c>
      <c r="W41" s="80">
        <f t="shared" si="17"/>
        <v>1.8309030212526858E-6</v>
      </c>
      <c r="X41" s="81">
        <f t="shared" si="18"/>
        <v>2.5632642297537603E-7</v>
      </c>
      <c r="Y41" s="82"/>
      <c r="Z41" s="83">
        <f t="shared" si="19"/>
        <v>3.6910050385875835E-3</v>
      </c>
      <c r="AA41" s="80">
        <f t="shared" si="20"/>
        <v>3.4039102772080165E-2</v>
      </c>
      <c r="AB41" s="81">
        <f t="shared" si="21"/>
        <v>1.3605572840098582E-11</v>
      </c>
      <c r="AC41" s="27"/>
      <c r="AD41" s="27"/>
    </row>
    <row r="42" spans="1:30">
      <c r="A42" s="74">
        <f t="shared" si="0"/>
        <v>1</v>
      </c>
      <c r="B42" s="75">
        <v>9</v>
      </c>
      <c r="C42" s="127">
        <v>0.16</v>
      </c>
      <c r="D42" s="84">
        <v>3.8644821206444309E-2</v>
      </c>
      <c r="E42" s="124">
        <f t="shared" si="1"/>
        <v>2.5600000000000001E-2</v>
      </c>
      <c r="F42" s="125">
        <f t="shared" si="2"/>
        <v>4.0960000000000007E-3</v>
      </c>
      <c r="G42" s="125">
        <f t="shared" si="3"/>
        <v>6.5536000000000001E-4</v>
      </c>
      <c r="H42" s="125">
        <f t="shared" si="4"/>
        <v>1.048576E-4</v>
      </c>
      <c r="I42" s="125">
        <f t="shared" si="5"/>
        <v>1.6777216E-5</v>
      </c>
      <c r="J42" s="125">
        <f t="shared" si="6"/>
        <v>2.6843545600000004E-6</v>
      </c>
      <c r="K42" s="125">
        <f t="shared" si="7"/>
        <v>4.2949672960000004E-7</v>
      </c>
      <c r="L42" s="126">
        <f t="shared" si="8"/>
        <v>6.8719476736000005E-8</v>
      </c>
      <c r="M42" s="125">
        <f t="shared" si="9"/>
        <v>1.0995116277760001E-8</v>
      </c>
      <c r="N42" s="125">
        <f t="shared" si="10"/>
        <v>1.7592186044416005E-9</v>
      </c>
      <c r="O42" s="126">
        <f t="shared" si="11"/>
        <v>2.8147497671065603E-10</v>
      </c>
      <c r="P42" s="30"/>
      <c r="Q42" s="27"/>
      <c r="R42" s="80">
        <f t="shared" si="12"/>
        <v>3.8644821206444309E-2</v>
      </c>
      <c r="S42" s="80">
        <f t="shared" si="13"/>
        <v>6.1831713930310898E-3</v>
      </c>
      <c r="T42" s="80">
        <f t="shared" si="14"/>
        <v>9.8930742288497425E-4</v>
      </c>
      <c r="U42" s="80">
        <f t="shared" si="15"/>
        <v>1.5828918766159591E-4</v>
      </c>
      <c r="V42" s="80">
        <f t="shared" si="16"/>
        <v>2.5326270025855342E-5</v>
      </c>
      <c r="W42" s="80">
        <f t="shared" si="17"/>
        <v>4.0522032041368552E-6</v>
      </c>
      <c r="X42" s="81">
        <f t="shared" si="18"/>
        <v>6.4835251266189676E-7</v>
      </c>
      <c r="Y42" s="82"/>
      <c r="Z42" s="83">
        <f t="shared" si="19"/>
        <v>3.1530035664316565E-3</v>
      </c>
      <c r="AA42" s="80">
        <f t="shared" si="20"/>
        <v>3.863942946496747E-2</v>
      </c>
      <c r="AB42" s="81">
        <f t="shared" si="21"/>
        <v>2.9070876153062604E-11</v>
      </c>
      <c r="AC42" s="27"/>
      <c r="AD42" s="27"/>
    </row>
    <row r="43" spans="1:30">
      <c r="A43" s="74">
        <f t="shared" si="0"/>
        <v>1</v>
      </c>
      <c r="B43" s="75">
        <v>10</v>
      </c>
      <c r="C43" s="127">
        <v>0.18</v>
      </c>
      <c r="D43" s="84">
        <v>4.316371330740771E-2</v>
      </c>
      <c r="E43" s="124">
        <f t="shared" si="1"/>
        <v>3.2399999999999998E-2</v>
      </c>
      <c r="F43" s="125">
        <f t="shared" si="2"/>
        <v>5.8319999999999995E-3</v>
      </c>
      <c r="G43" s="125">
        <f t="shared" si="3"/>
        <v>1.0497599999999998E-3</v>
      </c>
      <c r="H43" s="125">
        <f t="shared" si="4"/>
        <v>1.8895679999999997E-4</v>
      </c>
      <c r="I43" s="125">
        <f t="shared" si="5"/>
        <v>3.4012223999999992E-5</v>
      </c>
      <c r="J43" s="125">
        <f t="shared" si="6"/>
        <v>6.1222003199999982E-6</v>
      </c>
      <c r="K43" s="125">
        <f t="shared" si="7"/>
        <v>1.1019960575999996E-6</v>
      </c>
      <c r="L43" s="126">
        <f t="shared" si="8"/>
        <v>1.9835929036799993E-7</v>
      </c>
      <c r="M43" s="125">
        <f t="shared" si="9"/>
        <v>3.5704672266239987E-8</v>
      </c>
      <c r="N43" s="125">
        <f t="shared" si="10"/>
        <v>6.4268410079231967E-9</v>
      </c>
      <c r="O43" s="126">
        <f t="shared" si="11"/>
        <v>1.1568313814261754E-9</v>
      </c>
      <c r="P43" s="30"/>
      <c r="Q43" s="27"/>
      <c r="R43" s="80">
        <f t="shared" si="12"/>
        <v>4.316371330740771E-2</v>
      </c>
      <c r="S43" s="80">
        <f t="shared" si="13"/>
        <v>7.7694683953333874E-3</v>
      </c>
      <c r="T43" s="80">
        <f t="shared" si="14"/>
        <v>1.3985043111600097E-3</v>
      </c>
      <c r="U43" s="80">
        <f t="shared" si="15"/>
        <v>2.5173077600880174E-4</v>
      </c>
      <c r="V43" s="80">
        <f t="shared" si="16"/>
        <v>4.5311539681584314E-5</v>
      </c>
      <c r="W43" s="80">
        <f t="shared" si="17"/>
        <v>8.1560771426851751E-6</v>
      </c>
      <c r="X43" s="81">
        <f t="shared" si="18"/>
        <v>1.4680938856833315E-6</v>
      </c>
      <c r="Y43" s="82"/>
      <c r="Z43" s="83">
        <f t="shared" si="19"/>
        <v>2.6659377974895641E-3</v>
      </c>
      <c r="AA43" s="80">
        <f t="shared" si="20"/>
        <v>4.3157637117475625E-2</v>
      </c>
      <c r="AB43" s="81">
        <f t="shared" si="21"/>
        <v>3.6920084090766758E-11</v>
      </c>
      <c r="AC43" s="27"/>
      <c r="AD43" s="27"/>
    </row>
    <row r="44" spans="1:30">
      <c r="A44" s="74">
        <f t="shared" si="0"/>
        <v>1</v>
      </c>
      <c r="B44" s="75">
        <v>11</v>
      </c>
      <c r="C44" s="127">
        <v>0.2</v>
      </c>
      <c r="D44" s="84">
        <v>4.7596286875861364E-2</v>
      </c>
      <c r="E44" s="124">
        <f t="shared" si="1"/>
        <v>4.0000000000000008E-2</v>
      </c>
      <c r="F44" s="125">
        <f t="shared" si="2"/>
        <v>8.0000000000000019E-3</v>
      </c>
      <c r="G44" s="125">
        <f t="shared" si="3"/>
        <v>1.6000000000000007E-3</v>
      </c>
      <c r="H44" s="125">
        <f t="shared" si="4"/>
        <v>3.2000000000000019E-4</v>
      </c>
      <c r="I44" s="125">
        <f t="shared" si="5"/>
        <v>6.4000000000000038E-5</v>
      </c>
      <c r="J44" s="125">
        <f t="shared" si="6"/>
        <v>1.280000000000001E-5</v>
      </c>
      <c r="K44" s="125">
        <f t="shared" si="7"/>
        <v>2.5600000000000022E-6</v>
      </c>
      <c r="L44" s="126">
        <f t="shared" si="8"/>
        <v>5.1200000000000046E-7</v>
      </c>
      <c r="M44" s="125">
        <f t="shared" si="9"/>
        <v>1.0240000000000011E-7</v>
      </c>
      <c r="N44" s="125">
        <f t="shared" si="10"/>
        <v>2.0480000000000022E-8</v>
      </c>
      <c r="O44" s="126">
        <f t="shared" si="11"/>
        <v>4.0960000000000057E-9</v>
      </c>
      <c r="P44" s="30"/>
      <c r="Q44" s="27"/>
      <c r="R44" s="80">
        <f t="shared" si="12"/>
        <v>4.7596286875861364E-2</v>
      </c>
      <c r="S44" s="80">
        <f t="shared" si="13"/>
        <v>9.5192573751722732E-3</v>
      </c>
      <c r="T44" s="80">
        <f t="shared" si="14"/>
        <v>1.9038514750344549E-3</v>
      </c>
      <c r="U44" s="80">
        <f t="shared" si="15"/>
        <v>3.8077029500689099E-4</v>
      </c>
      <c r="V44" s="80">
        <f t="shared" si="16"/>
        <v>7.6154059001378222E-5</v>
      </c>
      <c r="W44" s="80">
        <f t="shared" si="17"/>
        <v>1.5230811800275646E-5</v>
      </c>
      <c r="X44" s="81">
        <f t="shared" si="18"/>
        <v>3.0461623600551291E-6</v>
      </c>
      <c r="Y44" s="82"/>
      <c r="Z44" s="83">
        <f t="shared" si="19"/>
        <v>2.2278538440854171E-3</v>
      </c>
      <c r="AA44" s="80">
        <f t="shared" si="20"/>
        <v>4.759043856416903E-2</v>
      </c>
      <c r="AB44" s="81">
        <f t="shared" si="21"/>
        <v>3.4202749650695334E-11</v>
      </c>
      <c r="AC44" s="27"/>
      <c r="AD44" s="27"/>
    </row>
    <row r="45" spans="1:30">
      <c r="A45" s="74">
        <f t="shared" si="0"/>
        <v>1</v>
      </c>
      <c r="B45" s="75">
        <v>12</v>
      </c>
      <c r="C45" s="127">
        <v>0.22</v>
      </c>
      <c r="D45" s="84">
        <v>5.1940120294661891E-2</v>
      </c>
      <c r="E45" s="124">
        <f t="shared" si="1"/>
        <v>4.8399999999999999E-2</v>
      </c>
      <c r="F45" s="125">
        <f t="shared" si="2"/>
        <v>1.0647999999999999E-2</v>
      </c>
      <c r="G45" s="125">
        <f t="shared" si="3"/>
        <v>2.34256E-3</v>
      </c>
      <c r="H45" s="125">
        <f t="shared" si="4"/>
        <v>5.1536319999999998E-4</v>
      </c>
      <c r="I45" s="125">
        <f t="shared" si="5"/>
        <v>1.1337990399999999E-4</v>
      </c>
      <c r="J45" s="125">
        <f t="shared" si="6"/>
        <v>2.4943578880000001E-5</v>
      </c>
      <c r="K45" s="125">
        <f t="shared" si="7"/>
        <v>5.4875873536E-6</v>
      </c>
      <c r="L45" s="126">
        <f t="shared" si="8"/>
        <v>1.2072692177920001E-6</v>
      </c>
      <c r="M45" s="125">
        <f t="shared" si="9"/>
        <v>2.6559922791423998E-7</v>
      </c>
      <c r="N45" s="125">
        <f t="shared" si="10"/>
        <v>5.8431830141132797E-8</v>
      </c>
      <c r="O45" s="126">
        <f t="shared" si="11"/>
        <v>1.2855002631049216E-8</v>
      </c>
      <c r="P45" s="30"/>
      <c r="Q45" s="27"/>
      <c r="R45" s="80">
        <f t="shared" si="12"/>
        <v>5.1940120294661891E-2</v>
      </c>
      <c r="S45" s="80">
        <f t="shared" si="13"/>
        <v>1.1426826464825617E-2</v>
      </c>
      <c r="T45" s="80">
        <f t="shared" si="14"/>
        <v>2.5139018222616353E-3</v>
      </c>
      <c r="U45" s="80">
        <f t="shared" si="15"/>
        <v>5.5305840089755977E-4</v>
      </c>
      <c r="V45" s="80">
        <f t="shared" si="16"/>
        <v>1.2167284819746316E-4</v>
      </c>
      <c r="W45" s="80">
        <f t="shared" si="17"/>
        <v>2.6768026603441894E-5</v>
      </c>
      <c r="X45" s="81">
        <f t="shared" si="18"/>
        <v>5.8889658527572162E-6</v>
      </c>
      <c r="Y45" s="82"/>
      <c r="Z45" s="83">
        <f t="shared" si="19"/>
        <v>1.8366635840466252E-3</v>
      </c>
      <c r="AA45" s="80">
        <f t="shared" si="20"/>
        <v>5.1935226432653483E-2</v>
      </c>
      <c r="AB45" s="81">
        <f t="shared" si="21"/>
        <v>2.3949885357338865E-11</v>
      </c>
      <c r="AC45" s="27"/>
      <c r="AD45" s="27"/>
    </row>
    <row r="46" spans="1:30">
      <c r="A46" s="74">
        <f t="shared" si="0"/>
        <v>1</v>
      </c>
      <c r="B46" s="75">
        <v>13</v>
      </c>
      <c r="C46" s="127">
        <v>0.24</v>
      </c>
      <c r="D46" s="84">
        <v>5.6193448937933432E-2</v>
      </c>
      <c r="E46" s="124">
        <f t="shared" si="1"/>
        <v>5.7599999999999998E-2</v>
      </c>
      <c r="F46" s="125">
        <f t="shared" si="2"/>
        <v>1.3823999999999999E-2</v>
      </c>
      <c r="G46" s="125">
        <f t="shared" si="3"/>
        <v>3.3177599999999999E-3</v>
      </c>
      <c r="H46" s="125">
        <f t="shared" si="4"/>
        <v>7.9626239999999997E-4</v>
      </c>
      <c r="I46" s="125">
        <f t="shared" si="5"/>
        <v>1.9110297599999999E-4</v>
      </c>
      <c r="J46" s="125">
        <f t="shared" si="6"/>
        <v>4.5864714239999996E-5</v>
      </c>
      <c r="K46" s="125">
        <f t="shared" si="7"/>
        <v>1.10075314176E-5</v>
      </c>
      <c r="L46" s="126">
        <f t="shared" si="8"/>
        <v>2.6418075402240001E-6</v>
      </c>
      <c r="M46" s="125">
        <f t="shared" si="9"/>
        <v>6.3403380965375995E-7</v>
      </c>
      <c r="N46" s="125">
        <f t="shared" si="10"/>
        <v>1.521681143169024E-7</v>
      </c>
      <c r="O46" s="126">
        <f t="shared" si="11"/>
        <v>3.6520347436056572E-8</v>
      </c>
      <c r="P46" s="30"/>
      <c r="Q46" s="27"/>
      <c r="R46" s="80">
        <f t="shared" si="12"/>
        <v>5.6193448937933432E-2</v>
      </c>
      <c r="S46" s="80">
        <f t="shared" si="13"/>
        <v>1.3486427745104024E-2</v>
      </c>
      <c r="T46" s="80">
        <f t="shared" si="14"/>
        <v>3.2367426588249654E-3</v>
      </c>
      <c r="U46" s="80">
        <f t="shared" si="15"/>
        <v>7.7681823811799177E-4</v>
      </c>
      <c r="V46" s="80">
        <f t="shared" si="16"/>
        <v>1.8643637714831803E-4</v>
      </c>
      <c r="W46" s="80">
        <f t="shared" si="17"/>
        <v>4.4744730515596322E-5</v>
      </c>
      <c r="X46" s="81">
        <f t="shared" si="18"/>
        <v>1.0738735323743118E-5</v>
      </c>
      <c r="Y46" s="82"/>
      <c r="Z46" s="83">
        <f t="shared" si="19"/>
        <v>1.4901904193443574E-3</v>
      </c>
      <c r="AA46" s="80">
        <f t="shared" si="20"/>
        <v>5.6190013454692989E-2</v>
      </c>
      <c r="AB46" s="81">
        <f t="shared" si="21"/>
        <v>1.1802545095369803E-11</v>
      </c>
      <c r="AC46" s="27"/>
      <c r="AD46" s="27"/>
    </row>
    <row r="47" spans="1:30">
      <c r="A47" s="74">
        <f t="shared" si="0"/>
        <v>1</v>
      </c>
      <c r="B47" s="75">
        <v>14</v>
      </c>
      <c r="C47" s="127">
        <v>0.26</v>
      </c>
      <c r="D47" s="84">
        <v>6.0355077602464224E-2</v>
      </c>
      <c r="E47" s="124">
        <f t="shared" si="1"/>
        <v>6.7600000000000007E-2</v>
      </c>
      <c r="F47" s="125">
        <f t="shared" si="2"/>
        <v>1.7576000000000001E-2</v>
      </c>
      <c r="G47" s="125">
        <f t="shared" si="3"/>
        <v>4.5697600000000008E-3</v>
      </c>
      <c r="H47" s="125">
        <f t="shared" si="4"/>
        <v>1.1881376000000003E-3</v>
      </c>
      <c r="I47" s="125">
        <f t="shared" si="5"/>
        <v>3.0891577600000009E-4</v>
      </c>
      <c r="J47" s="125">
        <f t="shared" si="6"/>
        <v>8.0318101760000016E-5</v>
      </c>
      <c r="K47" s="125">
        <f t="shared" si="7"/>
        <v>2.0882706457600008E-5</v>
      </c>
      <c r="L47" s="126">
        <f t="shared" si="8"/>
        <v>5.4295036789760025E-6</v>
      </c>
      <c r="M47" s="125">
        <f t="shared" si="9"/>
        <v>1.4116709565337606E-6</v>
      </c>
      <c r="N47" s="125">
        <f t="shared" si="10"/>
        <v>3.6703444869877774E-7</v>
      </c>
      <c r="O47" s="126">
        <f t="shared" si="11"/>
        <v>9.5428956661682233E-8</v>
      </c>
      <c r="P47" s="30"/>
      <c r="Q47" s="27"/>
      <c r="R47" s="80">
        <f t="shared" si="12"/>
        <v>6.0355077602464224E-2</v>
      </c>
      <c r="S47" s="80">
        <f t="shared" si="13"/>
        <v>1.5692320176640698E-2</v>
      </c>
      <c r="T47" s="80">
        <f t="shared" si="14"/>
        <v>4.0800032459265816E-3</v>
      </c>
      <c r="U47" s="80">
        <f t="shared" si="15"/>
        <v>1.0608008439409113E-3</v>
      </c>
      <c r="V47" s="80">
        <f t="shared" si="16"/>
        <v>2.7580821942463699E-4</v>
      </c>
      <c r="W47" s="80">
        <f t="shared" si="17"/>
        <v>7.1710137050405614E-5</v>
      </c>
      <c r="X47" s="81">
        <f t="shared" si="18"/>
        <v>1.8644635633105459E-5</v>
      </c>
      <c r="Y47" s="82"/>
      <c r="Z47" s="83">
        <f t="shared" si="19"/>
        <v>1.1862069980638833E-3</v>
      </c>
      <c r="AA47" s="80">
        <f t="shared" si="20"/>
        <v>6.0353375335054749E-2</v>
      </c>
      <c r="AB47" s="81">
        <f t="shared" si="21"/>
        <v>2.8977143333633359E-12</v>
      </c>
      <c r="AC47" s="27"/>
      <c r="AD47" s="27"/>
    </row>
    <row r="48" spans="1:30">
      <c r="A48" s="74">
        <f t="shared" si="0"/>
        <v>1</v>
      </c>
      <c r="B48" s="75">
        <v>15</v>
      </c>
      <c r="C48" s="127">
        <v>0.28000000000000003</v>
      </c>
      <c r="D48" s="84">
        <v>6.4424304598586127E-2</v>
      </c>
      <c r="E48" s="124">
        <f t="shared" si="1"/>
        <v>7.8400000000000011E-2</v>
      </c>
      <c r="F48" s="125">
        <f t="shared" si="2"/>
        <v>2.1952000000000006E-2</v>
      </c>
      <c r="G48" s="125">
        <f t="shared" si="3"/>
        <v>6.1465600000000014E-3</v>
      </c>
      <c r="H48" s="125">
        <f t="shared" si="4"/>
        <v>1.7210368000000005E-3</v>
      </c>
      <c r="I48" s="125">
        <f t="shared" si="5"/>
        <v>4.818903040000002E-4</v>
      </c>
      <c r="J48" s="125">
        <f t="shared" si="6"/>
        <v>1.3492928512000006E-4</v>
      </c>
      <c r="K48" s="125">
        <f t="shared" si="7"/>
        <v>3.778019983360002E-5</v>
      </c>
      <c r="L48" s="126">
        <f t="shared" si="8"/>
        <v>1.0578455953408006E-5</v>
      </c>
      <c r="M48" s="125">
        <f t="shared" si="9"/>
        <v>2.9619676669542419E-6</v>
      </c>
      <c r="N48" s="125">
        <f t="shared" si="10"/>
        <v>8.2935094674718787E-7</v>
      </c>
      <c r="O48" s="126">
        <f t="shared" si="11"/>
        <v>2.3221826508921258E-7</v>
      </c>
      <c r="P48" s="30"/>
      <c r="Q48" s="27"/>
      <c r="R48" s="80">
        <f t="shared" si="12"/>
        <v>6.4424304598586127E-2</v>
      </c>
      <c r="S48" s="80">
        <f t="shared" si="13"/>
        <v>1.8038805287604116E-2</v>
      </c>
      <c r="T48" s="80">
        <f t="shared" si="14"/>
        <v>5.0508654805291528E-3</v>
      </c>
      <c r="U48" s="80">
        <f t="shared" si="15"/>
        <v>1.4142423345481631E-3</v>
      </c>
      <c r="V48" s="80">
        <f t="shared" si="16"/>
        <v>3.9598785367348562E-4</v>
      </c>
      <c r="W48" s="80">
        <f t="shared" si="17"/>
        <v>1.1087659902857598E-4</v>
      </c>
      <c r="X48" s="81">
        <f t="shared" si="18"/>
        <v>3.1045447728001279E-5</v>
      </c>
      <c r="Y48" s="82"/>
      <c r="Z48" s="83">
        <f t="shared" si="19"/>
        <v>9.224662157705885E-4</v>
      </c>
      <c r="AA48" s="80">
        <f t="shared" si="20"/>
        <v>6.4424396178082113E-2</v>
      </c>
      <c r="AB48" s="81">
        <f t="shared" si="21"/>
        <v>8.3868040851584819E-15</v>
      </c>
      <c r="AC48" s="27"/>
      <c r="AD48" s="27"/>
    </row>
    <row r="49" spans="1:30">
      <c r="A49" s="74">
        <f t="shared" si="0"/>
        <v>1</v>
      </c>
      <c r="B49" s="75">
        <v>16</v>
      </c>
      <c r="C49" s="127">
        <v>0.3</v>
      </c>
      <c r="D49" s="84">
        <v>6.8400855432936808E-2</v>
      </c>
      <c r="E49" s="124">
        <f t="shared" si="1"/>
        <v>0.09</v>
      </c>
      <c r="F49" s="125">
        <f t="shared" si="2"/>
        <v>2.7E-2</v>
      </c>
      <c r="G49" s="125">
        <f t="shared" si="3"/>
        <v>8.0999999999999996E-3</v>
      </c>
      <c r="H49" s="125">
        <f t="shared" si="4"/>
        <v>2.4299999999999999E-3</v>
      </c>
      <c r="I49" s="125">
        <f t="shared" si="5"/>
        <v>7.2899999999999994E-4</v>
      </c>
      <c r="J49" s="125">
        <f t="shared" si="6"/>
        <v>2.1869999999999998E-4</v>
      </c>
      <c r="K49" s="125">
        <f t="shared" si="7"/>
        <v>6.560999999999999E-5</v>
      </c>
      <c r="L49" s="126">
        <f t="shared" si="8"/>
        <v>1.9682999999999998E-5</v>
      </c>
      <c r="M49" s="125">
        <f t="shared" si="9"/>
        <v>5.9048999999999991E-6</v>
      </c>
      <c r="N49" s="125">
        <f t="shared" si="10"/>
        <v>1.7714699999999997E-6</v>
      </c>
      <c r="O49" s="126">
        <f t="shared" si="11"/>
        <v>5.3144099999999987E-7</v>
      </c>
      <c r="P49" s="30"/>
      <c r="Q49" s="27"/>
      <c r="R49" s="80">
        <f t="shared" si="12"/>
        <v>6.8400855432936808E-2</v>
      </c>
      <c r="S49" s="80">
        <f t="shared" si="13"/>
        <v>2.052025662988104E-2</v>
      </c>
      <c r="T49" s="80">
        <f t="shared" si="14"/>
        <v>6.1560769889643123E-3</v>
      </c>
      <c r="U49" s="80">
        <f t="shared" si="15"/>
        <v>1.8468230966892938E-3</v>
      </c>
      <c r="V49" s="80">
        <f t="shared" si="16"/>
        <v>5.5404692900678815E-4</v>
      </c>
      <c r="W49" s="80">
        <f t="shared" si="17"/>
        <v>1.6621407870203643E-4</v>
      </c>
      <c r="X49" s="81">
        <f t="shared" si="18"/>
        <v>4.9864223610610926E-5</v>
      </c>
      <c r="Y49" s="82"/>
      <c r="Z49" s="83">
        <f t="shared" si="19"/>
        <v>6.967265430296339E-4</v>
      </c>
      <c r="AA49" s="80">
        <f t="shared" si="20"/>
        <v>6.8402616471995734E-2</v>
      </c>
      <c r="AB49" s="81">
        <f t="shared" si="21"/>
        <v>3.1012585670617812E-12</v>
      </c>
      <c r="AC49" s="27"/>
      <c r="AD49" s="27"/>
    </row>
    <row r="50" spans="1:30">
      <c r="A50" s="74">
        <f t="shared" si="0"/>
        <v>1</v>
      </c>
      <c r="B50" s="75">
        <v>17</v>
      </c>
      <c r="C50" s="127">
        <v>0.32</v>
      </c>
      <c r="D50" s="84">
        <v>7.2284824566596226E-2</v>
      </c>
      <c r="E50" s="124">
        <f t="shared" si="1"/>
        <v>0.1024</v>
      </c>
      <c r="F50" s="125">
        <f t="shared" si="2"/>
        <v>3.2768000000000005E-2</v>
      </c>
      <c r="G50" s="125">
        <f t="shared" si="3"/>
        <v>1.048576E-2</v>
      </c>
      <c r="H50" s="125">
        <f t="shared" si="4"/>
        <v>3.3554432000000001E-3</v>
      </c>
      <c r="I50" s="125">
        <f t="shared" si="5"/>
        <v>1.073741824E-3</v>
      </c>
      <c r="J50" s="125">
        <f t="shared" si="6"/>
        <v>3.4359738368000005E-4</v>
      </c>
      <c r="K50" s="125">
        <f t="shared" si="7"/>
        <v>1.0995116277760001E-4</v>
      </c>
      <c r="L50" s="126">
        <f t="shared" si="8"/>
        <v>3.5184372088832003E-5</v>
      </c>
      <c r="M50" s="125">
        <f t="shared" si="9"/>
        <v>1.1258999068426241E-5</v>
      </c>
      <c r="N50" s="125">
        <f t="shared" si="10"/>
        <v>3.6028797018963978E-6</v>
      </c>
      <c r="O50" s="126">
        <f t="shared" si="11"/>
        <v>1.1529215046068471E-6</v>
      </c>
      <c r="P50" s="30"/>
      <c r="Q50" s="27"/>
      <c r="R50" s="80">
        <f t="shared" si="12"/>
        <v>7.2284824566596226E-2</v>
      </c>
      <c r="S50" s="80">
        <f t="shared" si="13"/>
        <v>2.3131143861310793E-2</v>
      </c>
      <c r="T50" s="80">
        <f t="shared" si="14"/>
        <v>7.4019660356194538E-3</v>
      </c>
      <c r="U50" s="80">
        <f t="shared" si="15"/>
        <v>2.3686291313982253E-3</v>
      </c>
      <c r="V50" s="80">
        <f t="shared" si="16"/>
        <v>7.5796132204743205E-4</v>
      </c>
      <c r="W50" s="80">
        <f t="shared" si="17"/>
        <v>2.4254762305517827E-4</v>
      </c>
      <c r="X50" s="81">
        <f t="shared" si="18"/>
        <v>7.7615239377657041E-5</v>
      </c>
      <c r="Y50" s="82"/>
      <c r="Z50" s="83">
        <f t="shared" si="19"/>
        <v>5.0677253807981362E-4</v>
      </c>
      <c r="AA50" s="80">
        <f t="shared" si="20"/>
        <v>7.2287983630922717E-2</v>
      </c>
      <c r="AB50" s="81">
        <f t="shared" si="21"/>
        <v>9.9796874189090253E-12</v>
      </c>
      <c r="AC50" s="27"/>
      <c r="AD50" s="27"/>
    </row>
    <row r="51" spans="1:30">
      <c r="A51" s="74">
        <f t="shared" si="0"/>
        <v>1</v>
      </c>
      <c r="B51" s="75">
        <v>18</v>
      </c>
      <c r="C51" s="127">
        <v>0.34</v>
      </c>
      <c r="D51" s="84">
        <v>7.6076624092137071E-2</v>
      </c>
      <c r="E51" s="124">
        <f t="shared" si="1"/>
        <v>0.11560000000000002</v>
      </c>
      <c r="F51" s="125">
        <f t="shared" si="2"/>
        <v>3.9304000000000013E-2</v>
      </c>
      <c r="G51" s="125">
        <f t="shared" si="3"/>
        <v>1.3363360000000005E-2</v>
      </c>
      <c r="H51" s="125">
        <f t="shared" si="4"/>
        <v>4.5435424000000021E-3</v>
      </c>
      <c r="I51" s="125">
        <f t="shared" si="5"/>
        <v>1.5448044160000008E-3</v>
      </c>
      <c r="J51" s="125">
        <f t="shared" si="6"/>
        <v>5.2523350144000037E-4</v>
      </c>
      <c r="K51" s="125">
        <f t="shared" si="7"/>
        <v>1.7857939048960013E-4</v>
      </c>
      <c r="L51" s="126">
        <f t="shared" si="8"/>
        <v>6.0716992766464047E-5</v>
      </c>
      <c r="M51" s="125">
        <f t="shared" si="9"/>
        <v>2.064377754059778E-5</v>
      </c>
      <c r="N51" s="125">
        <f t="shared" si="10"/>
        <v>7.0188843638032455E-6</v>
      </c>
      <c r="O51" s="126">
        <f t="shared" si="11"/>
        <v>2.3864206836931037E-6</v>
      </c>
      <c r="P51" s="30"/>
      <c r="Q51" s="27"/>
      <c r="R51" s="80">
        <f t="shared" si="12"/>
        <v>7.6076624092137071E-2</v>
      </c>
      <c r="S51" s="80">
        <f t="shared" si="13"/>
        <v>2.5866052191326604E-2</v>
      </c>
      <c r="T51" s="80">
        <f t="shared" si="14"/>
        <v>8.7944577450510472E-3</v>
      </c>
      <c r="U51" s="80">
        <f t="shared" si="15"/>
        <v>2.9901156333173562E-3</v>
      </c>
      <c r="V51" s="80">
        <f t="shared" si="16"/>
        <v>1.0166393153279011E-3</v>
      </c>
      <c r="W51" s="80">
        <f t="shared" si="17"/>
        <v>3.4565736721148645E-4</v>
      </c>
      <c r="X51" s="81">
        <f t="shared" si="18"/>
        <v>1.175235048519054E-4</v>
      </c>
      <c r="Y51" s="82"/>
      <c r="Z51" s="83">
        <f t="shared" si="19"/>
        <v>3.5043126535548564E-4</v>
      </c>
      <c r="AA51" s="80">
        <f t="shared" si="20"/>
        <v>7.6080805094653925E-2</v>
      </c>
      <c r="AB51" s="81">
        <f t="shared" si="21"/>
        <v>1.7480782045937107E-11</v>
      </c>
      <c r="AC51" s="27"/>
      <c r="AD51" s="27"/>
    </row>
    <row r="52" spans="1:30">
      <c r="A52" s="74">
        <f t="shared" si="0"/>
        <v>1</v>
      </c>
      <c r="B52" s="75">
        <v>19</v>
      </c>
      <c r="C52" s="127">
        <v>0.36</v>
      </c>
      <c r="D52" s="84">
        <v>7.9776938416041721E-2</v>
      </c>
      <c r="E52" s="124">
        <f t="shared" si="1"/>
        <v>0.12959999999999999</v>
      </c>
      <c r="F52" s="125">
        <f t="shared" si="2"/>
        <v>4.6655999999999996E-2</v>
      </c>
      <c r="G52" s="125">
        <f t="shared" si="3"/>
        <v>1.6796159999999997E-2</v>
      </c>
      <c r="H52" s="125">
        <f t="shared" si="4"/>
        <v>6.0466175999999991E-3</v>
      </c>
      <c r="I52" s="125">
        <f t="shared" si="5"/>
        <v>2.1767823359999995E-3</v>
      </c>
      <c r="J52" s="125">
        <f t="shared" si="6"/>
        <v>7.8364164095999977E-4</v>
      </c>
      <c r="K52" s="125">
        <f t="shared" si="7"/>
        <v>2.8211099074559989E-4</v>
      </c>
      <c r="L52" s="126">
        <f t="shared" si="8"/>
        <v>1.0155995666841596E-4</v>
      </c>
      <c r="M52" s="125">
        <f t="shared" si="9"/>
        <v>3.6561584400629747E-5</v>
      </c>
      <c r="N52" s="125">
        <f t="shared" si="10"/>
        <v>1.3162170384226707E-5</v>
      </c>
      <c r="O52" s="126">
        <f t="shared" si="11"/>
        <v>4.7383813383216143E-6</v>
      </c>
      <c r="P52" s="30"/>
      <c r="Q52" s="27"/>
      <c r="R52" s="80">
        <f t="shared" si="12"/>
        <v>7.9776938416041721E-2</v>
      </c>
      <c r="S52" s="80">
        <f t="shared" si="13"/>
        <v>2.8719697829775018E-2</v>
      </c>
      <c r="T52" s="80">
        <f t="shared" si="14"/>
        <v>1.0339091218719006E-2</v>
      </c>
      <c r="U52" s="80">
        <f t="shared" si="15"/>
        <v>3.7220728387388421E-3</v>
      </c>
      <c r="V52" s="80">
        <f t="shared" si="16"/>
        <v>1.3399462219459831E-3</v>
      </c>
      <c r="W52" s="80">
        <f t="shared" si="17"/>
        <v>4.823806399005539E-4</v>
      </c>
      <c r="X52" s="81">
        <f t="shared" si="18"/>
        <v>1.736570303641994E-4</v>
      </c>
      <c r="Y52" s="82"/>
      <c r="Z52" s="83">
        <f t="shared" si="19"/>
        <v>2.2558523345060332E-4</v>
      </c>
      <c r="AA52" s="80">
        <f t="shared" si="20"/>
        <v>7.9781703986129437E-2</v>
      </c>
      <c r="AB52" s="81">
        <f t="shared" si="21"/>
        <v>2.2710658260942458E-11</v>
      </c>
      <c r="AC52" s="27"/>
      <c r="AD52" s="27"/>
    </row>
    <row r="53" spans="1:30">
      <c r="A53" s="74">
        <f t="shared" si="0"/>
        <v>1</v>
      </c>
      <c r="B53" s="75">
        <v>20</v>
      </c>
      <c r="C53" s="127">
        <v>0.38</v>
      </c>
      <c r="D53" s="84">
        <v>8.3386684202599065E-2</v>
      </c>
      <c r="E53" s="124">
        <f t="shared" si="1"/>
        <v>0.1444</v>
      </c>
      <c r="F53" s="125">
        <f t="shared" si="2"/>
        <v>5.4872000000000004E-2</v>
      </c>
      <c r="G53" s="125">
        <f t="shared" si="3"/>
        <v>2.0851359999999999E-2</v>
      </c>
      <c r="H53" s="125">
        <f t="shared" si="4"/>
        <v>7.9235168000000005E-3</v>
      </c>
      <c r="I53" s="125">
        <f t="shared" si="5"/>
        <v>3.0109363839999998E-3</v>
      </c>
      <c r="J53" s="125">
        <f t="shared" si="6"/>
        <v>1.1441558259200001E-3</v>
      </c>
      <c r="K53" s="125">
        <f t="shared" si="7"/>
        <v>4.3477921384959997E-4</v>
      </c>
      <c r="L53" s="126">
        <f t="shared" si="8"/>
        <v>1.65216101262848E-4</v>
      </c>
      <c r="M53" s="125">
        <f t="shared" si="9"/>
        <v>6.2782118479882233E-5</v>
      </c>
      <c r="N53" s="125">
        <f t="shared" si="10"/>
        <v>2.3857205022355252E-5</v>
      </c>
      <c r="O53" s="126">
        <f t="shared" si="11"/>
        <v>9.0657379084949944E-6</v>
      </c>
      <c r="P53" s="30"/>
      <c r="Q53" s="27"/>
      <c r="R53" s="80">
        <f t="shared" si="12"/>
        <v>8.3386684202599065E-2</v>
      </c>
      <c r="S53" s="80">
        <f t="shared" si="13"/>
        <v>3.1686939996987643E-2</v>
      </c>
      <c r="T53" s="80">
        <f t="shared" si="14"/>
        <v>1.2041037198855305E-2</v>
      </c>
      <c r="U53" s="80">
        <f t="shared" si="15"/>
        <v>4.5755941355650163E-3</v>
      </c>
      <c r="V53" s="80">
        <f t="shared" si="16"/>
        <v>1.7387257715147061E-3</v>
      </c>
      <c r="W53" s="80">
        <f t="shared" si="17"/>
        <v>6.6071579317558834E-4</v>
      </c>
      <c r="X53" s="81">
        <f t="shared" si="18"/>
        <v>2.5107200140672356E-4</v>
      </c>
      <c r="Y53" s="82"/>
      <c r="Z53" s="83">
        <f t="shared" si="19"/>
        <v>1.3018237969314927E-4</v>
      </c>
      <c r="AA53" s="80">
        <f t="shared" si="20"/>
        <v>8.3391577326651936E-2</v>
      </c>
      <c r="AB53" s="81">
        <f t="shared" si="21"/>
        <v>2.3942662996784836E-11</v>
      </c>
      <c r="AC53" s="27"/>
      <c r="AD53" s="27"/>
    </row>
    <row r="54" spans="1:30">
      <c r="A54" s="74">
        <f t="shared" si="0"/>
        <v>1</v>
      </c>
      <c r="B54" s="75">
        <v>21</v>
      </c>
      <c r="C54" s="127">
        <v>0.4</v>
      </c>
      <c r="D54" s="84">
        <v>8.6906974958233407E-2</v>
      </c>
      <c r="E54" s="124">
        <f t="shared" si="1"/>
        <v>0.16000000000000003</v>
      </c>
      <c r="F54" s="125">
        <f t="shared" si="2"/>
        <v>6.4000000000000015E-2</v>
      </c>
      <c r="G54" s="125">
        <f t="shared" si="3"/>
        <v>2.5600000000000012E-2</v>
      </c>
      <c r="H54" s="125">
        <f t="shared" si="4"/>
        <v>1.0240000000000006E-2</v>
      </c>
      <c r="I54" s="125">
        <f t="shared" si="5"/>
        <v>4.0960000000000024E-3</v>
      </c>
      <c r="J54" s="125">
        <f t="shared" si="6"/>
        <v>1.6384000000000012E-3</v>
      </c>
      <c r="K54" s="125">
        <f t="shared" si="7"/>
        <v>6.5536000000000056E-4</v>
      </c>
      <c r="L54" s="126">
        <f t="shared" si="8"/>
        <v>2.6214400000000023E-4</v>
      </c>
      <c r="M54" s="125">
        <f t="shared" si="9"/>
        <v>1.0485760000000011E-4</v>
      </c>
      <c r="N54" s="125">
        <f t="shared" si="10"/>
        <v>4.1943040000000045E-5</v>
      </c>
      <c r="O54" s="126">
        <f t="shared" si="11"/>
        <v>1.6777216000000023E-5</v>
      </c>
      <c r="P54" s="30"/>
      <c r="Q54" s="27"/>
      <c r="R54" s="80">
        <f t="shared" si="12"/>
        <v>8.6906974958233407E-2</v>
      </c>
      <c r="S54" s="80">
        <f t="shared" si="13"/>
        <v>3.4762789983293366E-2</v>
      </c>
      <c r="T54" s="80">
        <f t="shared" si="14"/>
        <v>1.3905115993317348E-2</v>
      </c>
      <c r="U54" s="80">
        <f t="shared" si="15"/>
        <v>5.5620463973269398E-3</v>
      </c>
      <c r="V54" s="80">
        <f t="shared" si="16"/>
        <v>2.2248185589307762E-3</v>
      </c>
      <c r="W54" s="80">
        <f t="shared" si="17"/>
        <v>8.8992742357231057E-4</v>
      </c>
      <c r="X54" s="81">
        <f t="shared" si="18"/>
        <v>3.5597096942892423E-4</v>
      </c>
      <c r="Y54" s="82"/>
      <c r="Z54" s="83">
        <f t="shared" si="19"/>
        <v>6.2243556541116611E-5</v>
      </c>
      <c r="AA54" s="80">
        <f t="shared" si="20"/>
        <v>8.6911556808828297E-2</v>
      </c>
      <c r="AB54" s="81">
        <f t="shared" si="21"/>
        <v>2.0993354873891021E-11</v>
      </c>
      <c r="AC54" s="27"/>
      <c r="AD54" s="27"/>
    </row>
    <row r="55" spans="1:30">
      <c r="A55" s="74">
        <f t="shared" si="0"/>
        <v>1</v>
      </c>
      <c r="B55" s="75">
        <v>22</v>
      </c>
      <c r="C55" s="127">
        <v>0.42</v>
      </c>
      <c r="D55" s="84">
        <v>9.0339089727408173E-2</v>
      </c>
      <c r="E55" s="124">
        <f t="shared" si="1"/>
        <v>0.17639999999999997</v>
      </c>
      <c r="F55" s="125">
        <f t="shared" si="2"/>
        <v>7.4087999999999987E-2</v>
      </c>
      <c r="G55" s="125">
        <f t="shared" si="3"/>
        <v>3.1116959999999992E-2</v>
      </c>
      <c r="H55" s="125">
        <f t="shared" si="4"/>
        <v>1.3069123199999996E-2</v>
      </c>
      <c r="I55" s="125">
        <f t="shared" si="5"/>
        <v>5.489031743999998E-3</v>
      </c>
      <c r="J55" s="125">
        <f t="shared" si="6"/>
        <v>2.305393332479999E-3</v>
      </c>
      <c r="K55" s="125">
        <f t="shared" si="7"/>
        <v>9.6826519964159953E-4</v>
      </c>
      <c r="L55" s="126">
        <f t="shared" si="8"/>
        <v>4.0667138384947179E-4</v>
      </c>
      <c r="M55" s="125">
        <f t="shared" si="9"/>
        <v>1.7080198121677812E-4</v>
      </c>
      <c r="N55" s="125">
        <f t="shared" si="10"/>
        <v>7.1736832111046807E-5</v>
      </c>
      <c r="O55" s="126">
        <f t="shared" si="11"/>
        <v>3.0129469486639658E-5</v>
      </c>
      <c r="P55" s="30"/>
      <c r="Q55" s="27"/>
      <c r="R55" s="80">
        <f t="shared" si="12"/>
        <v>9.0339089727408173E-2</v>
      </c>
      <c r="S55" s="80">
        <f t="shared" si="13"/>
        <v>3.7942417685511431E-2</v>
      </c>
      <c r="T55" s="80">
        <f t="shared" si="14"/>
        <v>1.59358154279148E-2</v>
      </c>
      <c r="U55" s="80">
        <f t="shared" si="15"/>
        <v>6.6930424797242158E-3</v>
      </c>
      <c r="V55" s="80">
        <f t="shared" si="16"/>
        <v>2.8110778414841705E-3</v>
      </c>
      <c r="W55" s="80">
        <f t="shared" si="17"/>
        <v>1.1806526934233514E-3</v>
      </c>
      <c r="X55" s="81">
        <f t="shared" si="18"/>
        <v>4.9587413123780761E-4</v>
      </c>
      <c r="Y55" s="82"/>
      <c r="Z55" s="83">
        <f t="shared" si="19"/>
        <v>1.9867913766308951E-5</v>
      </c>
      <c r="AA55" s="80">
        <f t="shared" si="20"/>
        <v>9.0342972127239296E-2</v>
      </c>
      <c r="AB55" s="81">
        <f t="shared" si="21"/>
        <v>1.5073028448705935E-11</v>
      </c>
      <c r="AC55" s="27"/>
      <c r="AD55" s="27"/>
    </row>
    <row r="56" spans="1:30">
      <c r="A56" s="74">
        <f t="shared" si="0"/>
        <v>1</v>
      </c>
      <c r="B56" s="75">
        <v>23</v>
      </c>
      <c r="C56" s="127">
        <v>0.44</v>
      </c>
      <c r="D56" s="84">
        <v>9.3684445442836661E-2</v>
      </c>
      <c r="E56" s="124">
        <f t="shared" si="1"/>
        <v>0.19359999999999999</v>
      </c>
      <c r="F56" s="125">
        <f t="shared" si="2"/>
        <v>8.5183999999999996E-2</v>
      </c>
      <c r="G56" s="125">
        <f t="shared" si="3"/>
        <v>3.7480960000000001E-2</v>
      </c>
      <c r="H56" s="125">
        <f t="shared" si="4"/>
        <v>1.6491622399999999E-2</v>
      </c>
      <c r="I56" s="125">
        <f t="shared" si="5"/>
        <v>7.2563138559999995E-3</v>
      </c>
      <c r="J56" s="125">
        <f t="shared" si="6"/>
        <v>3.1927780966400001E-3</v>
      </c>
      <c r="K56" s="125">
        <f t="shared" si="7"/>
        <v>1.4048223625216E-3</v>
      </c>
      <c r="L56" s="126">
        <f t="shared" si="8"/>
        <v>6.1812183950950403E-4</v>
      </c>
      <c r="M56" s="125">
        <f t="shared" si="9"/>
        <v>2.7197360938418174E-4</v>
      </c>
      <c r="N56" s="125">
        <f t="shared" si="10"/>
        <v>1.1966838812903997E-4</v>
      </c>
      <c r="O56" s="126">
        <f t="shared" si="11"/>
        <v>5.2654090776777589E-5</v>
      </c>
      <c r="P56" s="30"/>
      <c r="Q56" s="27"/>
      <c r="R56" s="80">
        <f t="shared" si="12"/>
        <v>9.3684445442836661E-2</v>
      </c>
      <c r="S56" s="80">
        <f t="shared" si="13"/>
        <v>4.122115599484813E-2</v>
      </c>
      <c r="T56" s="80">
        <f t="shared" si="14"/>
        <v>1.8137308637733177E-2</v>
      </c>
      <c r="U56" s="80">
        <f t="shared" si="15"/>
        <v>7.9804158006025975E-3</v>
      </c>
      <c r="V56" s="80">
        <f t="shared" si="16"/>
        <v>3.5113829522651434E-3</v>
      </c>
      <c r="W56" s="80">
        <f t="shared" si="17"/>
        <v>1.5450084989966628E-3</v>
      </c>
      <c r="X56" s="81">
        <f t="shared" si="18"/>
        <v>6.7980373955853169E-4</v>
      </c>
      <c r="Y56" s="82"/>
      <c r="Z56" s="83">
        <f t="shared" si="19"/>
        <v>1.2365175039487927E-6</v>
      </c>
      <c r="AA56" s="80">
        <f t="shared" si="20"/>
        <v>9.3687316866837303E-2</v>
      </c>
      <c r="AB56" s="81">
        <f t="shared" si="21"/>
        <v>8.2450757914609821E-12</v>
      </c>
      <c r="AC56" s="27"/>
      <c r="AD56" s="27"/>
    </row>
    <row r="57" spans="1:30">
      <c r="A57" s="74">
        <f t="shared" si="0"/>
        <v>1</v>
      </c>
      <c r="B57" s="75">
        <v>24</v>
      </c>
      <c r="C57" s="127">
        <v>0.46</v>
      </c>
      <c r="D57" s="84">
        <v>9.6944572530080597E-2</v>
      </c>
      <c r="E57" s="124">
        <f t="shared" si="1"/>
        <v>0.21160000000000001</v>
      </c>
      <c r="F57" s="125">
        <f t="shared" si="2"/>
        <v>9.7336000000000006E-2</v>
      </c>
      <c r="G57" s="125">
        <f t="shared" si="3"/>
        <v>4.4774560000000005E-2</v>
      </c>
      <c r="H57" s="125">
        <f t="shared" si="4"/>
        <v>2.0596297600000004E-2</v>
      </c>
      <c r="I57" s="125">
        <f t="shared" si="5"/>
        <v>9.4742968960000017E-3</v>
      </c>
      <c r="J57" s="125">
        <f t="shared" si="6"/>
        <v>4.3581765721600009E-3</v>
      </c>
      <c r="K57" s="125">
        <f t="shared" si="7"/>
        <v>2.0047612231936006E-3</v>
      </c>
      <c r="L57" s="126">
        <f t="shared" si="8"/>
        <v>9.2219016266905632E-4</v>
      </c>
      <c r="M57" s="125">
        <f t="shared" si="9"/>
        <v>4.2420747482776593E-4</v>
      </c>
      <c r="N57" s="125">
        <f t="shared" si="10"/>
        <v>1.9513543842077232E-4</v>
      </c>
      <c r="O57" s="126">
        <f t="shared" si="11"/>
        <v>8.9762301673555276E-5</v>
      </c>
      <c r="P57" s="30"/>
      <c r="Q57" s="27"/>
      <c r="R57" s="80">
        <f t="shared" si="12"/>
        <v>9.6944572530080597E-2</v>
      </c>
      <c r="S57" s="80">
        <f t="shared" si="13"/>
        <v>4.4594503363837079E-2</v>
      </c>
      <c r="T57" s="80">
        <f t="shared" si="14"/>
        <v>2.0513471547365054E-2</v>
      </c>
      <c r="U57" s="80">
        <f t="shared" si="15"/>
        <v>9.4361969117879255E-3</v>
      </c>
      <c r="V57" s="80">
        <f t="shared" si="16"/>
        <v>4.3406505794224464E-3</v>
      </c>
      <c r="W57" s="80">
        <f t="shared" si="17"/>
        <v>1.9966992665343252E-3</v>
      </c>
      <c r="X57" s="81">
        <f t="shared" si="18"/>
        <v>9.1848166260578964E-4</v>
      </c>
      <c r="Y57" s="82"/>
      <c r="Z57" s="83">
        <f t="shared" si="19"/>
        <v>4.6145011676166181E-6</v>
      </c>
      <c r="AA57" s="80">
        <f t="shared" si="20"/>
        <v>9.6946216949072156E-2</v>
      </c>
      <c r="AB57" s="81">
        <f t="shared" si="21"/>
        <v>2.7041138197991302E-12</v>
      </c>
      <c r="AC57" s="27"/>
      <c r="AD57" s="27"/>
    </row>
    <row r="58" spans="1:30">
      <c r="A58" s="74">
        <f t="shared" si="0"/>
        <v>1</v>
      </c>
      <c r="B58" s="75">
        <v>25</v>
      </c>
      <c r="C58" s="127">
        <v>0.48</v>
      </c>
      <c r="D58" s="84">
        <v>0.10012109341382185</v>
      </c>
      <c r="E58" s="124">
        <f t="shared" si="1"/>
        <v>0.23039999999999999</v>
      </c>
      <c r="F58" s="125">
        <f t="shared" si="2"/>
        <v>0.110592</v>
      </c>
      <c r="G58" s="125">
        <f t="shared" si="3"/>
        <v>5.3084159999999998E-2</v>
      </c>
      <c r="H58" s="125">
        <f t="shared" si="4"/>
        <v>2.5480396799999999E-2</v>
      </c>
      <c r="I58" s="125">
        <f t="shared" si="5"/>
        <v>1.2230590463999999E-2</v>
      </c>
      <c r="J58" s="125">
        <f t="shared" si="6"/>
        <v>5.8706834227199994E-3</v>
      </c>
      <c r="K58" s="125">
        <f t="shared" si="7"/>
        <v>2.8179280429056E-3</v>
      </c>
      <c r="L58" s="126">
        <f t="shared" si="8"/>
        <v>1.352605460594688E-3</v>
      </c>
      <c r="M58" s="125">
        <f t="shared" si="9"/>
        <v>6.4925062108545019E-4</v>
      </c>
      <c r="N58" s="125">
        <f t="shared" si="10"/>
        <v>3.1164029812101612E-4</v>
      </c>
      <c r="O58" s="126">
        <f t="shared" si="11"/>
        <v>1.4958734309808772E-4</v>
      </c>
      <c r="P58" s="30"/>
      <c r="Q58" s="27"/>
      <c r="R58" s="80">
        <f t="shared" si="12"/>
        <v>0.10012109341382185</v>
      </c>
      <c r="S58" s="80">
        <f t="shared" si="13"/>
        <v>4.8058124838634482E-2</v>
      </c>
      <c r="T58" s="80">
        <f t="shared" si="14"/>
        <v>2.3067899922544554E-2</v>
      </c>
      <c r="U58" s="80">
        <f t="shared" si="15"/>
        <v>1.1072591962821385E-2</v>
      </c>
      <c r="V58" s="80">
        <f t="shared" si="16"/>
        <v>5.3148441421542649E-3</v>
      </c>
      <c r="W58" s="80">
        <f t="shared" si="17"/>
        <v>2.5511251882340473E-3</v>
      </c>
      <c r="X58" s="81">
        <f t="shared" si="18"/>
        <v>1.2245400903523427E-3</v>
      </c>
      <c r="Y58" s="82"/>
      <c r="Z58" s="83">
        <f t="shared" si="19"/>
        <v>2.8352002888171055E-5</v>
      </c>
      <c r="AA58" s="80">
        <f t="shared" si="20"/>
        <v>0.10012140163574515</v>
      </c>
      <c r="AB58" s="81">
        <f t="shared" si="21"/>
        <v>9.5000754004968841E-14</v>
      </c>
      <c r="AC58" s="27"/>
      <c r="AD58" s="27"/>
    </row>
    <row r="59" spans="1:30">
      <c r="A59" s="74">
        <f t="shared" si="0"/>
        <v>1</v>
      </c>
      <c r="B59" s="75">
        <v>26</v>
      </c>
      <c r="C59" s="127">
        <v>0.5</v>
      </c>
      <c r="D59" s="84">
        <v>0.10321570361283271</v>
      </c>
      <c r="E59" s="124">
        <f t="shared" si="1"/>
        <v>0.25</v>
      </c>
      <c r="F59" s="125">
        <f t="shared" si="2"/>
        <v>0.125</v>
      </c>
      <c r="G59" s="125">
        <f t="shared" si="3"/>
        <v>6.25E-2</v>
      </c>
      <c r="H59" s="125">
        <f t="shared" si="4"/>
        <v>3.125E-2</v>
      </c>
      <c r="I59" s="125">
        <f t="shared" si="5"/>
        <v>1.5625E-2</v>
      </c>
      <c r="J59" s="125">
        <f t="shared" si="6"/>
        <v>7.8125E-3</v>
      </c>
      <c r="K59" s="125">
        <f t="shared" si="7"/>
        <v>3.90625E-3</v>
      </c>
      <c r="L59" s="126">
        <f t="shared" si="8"/>
        <v>1.953125E-3</v>
      </c>
      <c r="M59" s="125">
        <f t="shared" si="9"/>
        <v>9.765625E-4</v>
      </c>
      <c r="N59" s="125">
        <f t="shared" si="10"/>
        <v>4.8828125E-4</v>
      </c>
      <c r="O59" s="126">
        <f t="shared" si="11"/>
        <v>2.44140625E-4</v>
      </c>
      <c r="P59" s="30"/>
      <c r="Q59" s="27"/>
      <c r="R59" s="80">
        <f t="shared" si="12"/>
        <v>0.10321570361283271</v>
      </c>
      <c r="S59" s="80">
        <f t="shared" si="13"/>
        <v>5.1607851806416354E-2</v>
      </c>
      <c r="T59" s="80">
        <f t="shared" si="14"/>
        <v>2.5803925903208177E-2</v>
      </c>
      <c r="U59" s="80">
        <f t="shared" si="15"/>
        <v>1.2901962951604088E-2</v>
      </c>
      <c r="V59" s="80">
        <f t="shared" si="16"/>
        <v>6.4509814758020442E-3</v>
      </c>
      <c r="W59" s="80">
        <f t="shared" si="17"/>
        <v>3.2254907379010221E-3</v>
      </c>
      <c r="X59" s="81">
        <f t="shared" si="18"/>
        <v>1.612745368950511E-3</v>
      </c>
      <c r="Y59" s="82"/>
      <c r="Z59" s="83">
        <f t="shared" si="19"/>
        <v>7.088410874316067E-5</v>
      </c>
      <c r="AA59" s="80">
        <f t="shared" si="20"/>
        <v>0.10321467709059107</v>
      </c>
      <c r="AB59" s="81">
        <f t="shared" si="21"/>
        <v>1.0537479125816423E-12</v>
      </c>
      <c r="AC59" s="27"/>
      <c r="AD59" s="27"/>
    </row>
    <row r="60" spans="1:30">
      <c r="A60" s="74">
        <f t="shared" si="0"/>
        <v>1</v>
      </c>
      <c r="B60" s="75">
        <v>27</v>
      </c>
      <c r="C60" s="127">
        <v>0.52</v>
      </c>
      <c r="D60" s="84">
        <v>0.10623015514474676</v>
      </c>
      <c r="E60" s="124">
        <f t="shared" si="1"/>
        <v>0.27040000000000003</v>
      </c>
      <c r="F60" s="125">
        <f t="shared" si="2"/>
        <v>0.14060800000000001</v>
      </c>
      <c r="G60" s="125">
        <f t="shared" si="3"/>
        <v>7.3116160000000013E-2</v>
      </c>
      <c r="H60" s="125">
        <f t="shared" si="4"/>
        <v>3.8020403200000011E-2</v>
      </c>
      <c r="I60" s="125">
        <f t="shared" si="5"/>
        <v>1.9770609664000006E-2</v>
      </c>
      <c r="J60" s="125">
        <f t="shared" si="6"/>
        <v>1.0280717025280002E-2</v>
      </c>
      <c r="K60" s="125">
        <f t="shared" si="7"/>
        <v>5.345972853145602E-3</v>
      </c>
      <c r="L60" s="126">
        <f t="shared" si="8"/>
        <v>2.7799058836357133E-3</v>
      </c>
      <c r="M60" s="125">
        <f t="shared" si="9"/>
        <v>1.4455510594905709E-3</v>
      </c>
      <c r="N60" s="125">
        <f t="shared" si="10"/>
        <v>7.516865509350968E-4</v>
      </c>
      <c r="O60" s="126">
        <f t="shared" si="11"/>
        <v>3.9087700648625043E-4</v>
      </c>
      <c r="P60" s="30"/>
      <c r="Q60" s="27"/>
      <c r="R60" s="80">
        <f t="shared" si="12"/>
        <v>0.10623015514474676</v>
      </c>
      <c r="S60" s="80">
        <f t="shared" si="13"/>
        <v>5.523968067526832E-2</v>
      </c>
      <c r="T60" s="80">
        <f t="shared" si="14"/>
        <v>2.8724633951139528E-2</v>
      </c>
      <c r="U60" s="80">
        <f t="shared" si="15"/>
        <v>1.4936809654592554E-2</v>
      </c>
      <c r="V60" s="80">
        <f t="shared" si="16"/>
        <v>7.7671410203881287E-3</v>
      </c>
      <c r="W60" s="80">
        <f t="shared" si="17"/>
        <v>4.038913330601827E-3</v>
      </c>
      <c r="X60" s="81">
        <f t="shared" si="18"/>
        <v>2.1002349319129503E-3</v>
      </c>
      <c r="Y60" s="82"/>
      <c r="Z60" s="83">
        <f t="shared" si="19"/>
        <v>1.307299899845482E-4</v>
      </c>
      <c r="AA60" s="80">
        <f t="shared" si="20"/>
        <v>0.1062279024985882</v>
      </c>
      <c r="AB60" s="81">
        <f t="shared" si="21"/>
        <v>5.0744147156992384E-12</v>
      </c>
      <c r="AC60" s="27"/>
      <c r="AD60" s="27"/>
    </row>
    <row r="61" spans="1:30">
      <c r="A61" s="74">
        <f t="shared" si="0"/>
        <v>1</v>
      </c>
      <c r="B61" s="75">
        <v>28</v>
      </c>
      <c r="C61" s="127">
        <v>0.54</v>
      </c>
      <c r="D61" s="84">
        <v>0.10916624199137413</v>
      </c>
      <c r="E61" s="124">
        <f t="shared" si="1"/>
        <v>0.29160000000000003</v>
      </c>
      <c r="F61" s="125">
        <f t="shared" si="2"/>
        <v>0.15746400000000002</v>
      </c>
      <c r="G61" s="125">
        <f t="shared" si="3"/>
        <v>8.5030560000000019E-2</v>
      </c>
      <c r="H61" s="125">
        <f t="shared" si="4"/>
        <v>4.591650240000001E-2</v>
      </c>
      <c r="I61" s="125">
        <f t="shared" si="5"/>
        <v>2.4794911296000009E-2</v>
      </c>
      <c r="J61" s="125">
        <f t="shared" si="6"/>
        <v>1.3389252099840005E-2</v>
      </c>
      <c r="K61" s="125">
        <f t="shared" si="7"/>
        <v>7.2301961339136028E-3</v>
      </c>
      <c r="L61" s="126">
        <f t="shared" si="8"/>
        <v>3.9043059123133458E-3</v>
      </c>
      <c r="M61" s="125">
        <f t="shared" si="9"/>
        <v>2.1083251926492068E-3</v>
      </c>
      <c r="N61" s="125">
        <f t="shared" si="10"/>
        <v>1.1384956040305717E-3</v>
      </c>
      <c r="O61" s="126">
        <f t="shared" si="11"/>
        <v>6.1478762617650875E-4</v>
      </c>
      <c r="P61" s="30"/>
      <c r="Q61" s="27"/>
      <c r="R61" s="80">
        <f t="shared" si="12"/>
        <v>0.10916624199137413</v>
      </c>
      <c r="S61" s="80">
        <f t="shared" si="13"/>
        <v>5.8949770675342038E-2</v>
      </c>
      <c r="T61" s="80">
        <f t="shared" si="14"/>
        <v>3.1832876164684699E-2</v>
      </c>
      <c r="U61" s="80">
        <f t="shared" si="15"/>
        <v>1.7189753128929737E-2</v>
      </c>
      <c r="V61" s="80">
        <f t="shared" si="16"/>
        <v>9.2824666896220605E-3</v>
      </c>
      <c r="W61" s="80">
        <f t="shared" si="17"/>
        <v>5.0125320123959125E-3</v>
      </c>
      <c r="X61" s="81">
        <f t="shared" si="18"/>
        <v>2.706767286693793E-3</v>
      </c>
      <c r="Y61" s="82"/>
      <c r="Z61" s="83">
        <f t="shared" si="19"/>
        <v>2.0649139524299848E-4</v>
      </c>
      <c r="AA61" s="80">
        <f t="shared" si="20"/>
        <v>0.10916296874299665</v>
      </c>
      <c r="AB61" s="81">
        <f t="shared" si="21"/>
        <v>1.0714154940697244E-11</v>
      </c>
      <c r="AC61" s="27"/>
      <c r="AD61" s="27"/>
    </row>
    <row r="62" spans="1:30">
      <c r="A62" s="74">
        <f t="shared" si="0"/>
        <v>1</v>
      </c>
      <c r="B62" s="75">
        <v>29</v>
      </c>
      <c r="C62" s="127">
        <v>0.56000000000000005</v>
      </c>
      <c r="D62" s="84">
        <v>0.11202578740136855</v>
      </c>
      <c r="E62" s="124">
        <f t="shared" si="1"/>
        <v>0.31360000000000005</v>
      </c>
      <c r="F62" s="125">
        <f t="shared" si="2"/>
        <v>0.17561600000000005</v>
      </c>
      <c r="G62" s="125">
        <f t="shared" si="3"/>
        <v>9.8344960000000023E-2</v>
      </c>
      <c r="H62" s="125">
        <f t="shared" si="4"/>
        <v>5.5073177600000016E-2</v>
      </c>
      <c r="I62" s="125">
        <f t="shared" si="5"/>
        <v>3.0840979456000013E-2</v>
      </c>
      <c r="J62" s="125">
        <f t="shared" si="6"/>
        <v>1.7270948495360008E-2</v>
      </c>
      <c r="K62" s="125">
        <f t="shared" si="7"/>
        <v>9.671731157401605E-3</v>
      </c>
      <c r="L62" s="126">
        <f t="shared" si="8"/>
        <v>5.416169448144899E-3</v>
      </c>
      <c r="M62" s="125">
        <f t="shared" si="9"/>
        <v>3.0330548909611437E-3</v>
      </c>
      <c r="N62" s="125">
        <f t="shared" si="10"/>
        <v>1.6985107389382408E-3</v>
      </c>
      <c r="O62" s="126">
        <f t="shared" si="11"/>
        <v>9.5116601380541474E-4</v>
      </c>
      <c r="P62" s="30"/>
      <c r="Q62" s="27"/>
      <c r="R62" s="80">
        <f t="shared" si="12"/>
        <v>0.11202578740136855</v>
      </c>
      <c r="S62" s="80">
        <f t="shared" si="13"/>
        <v>6.2734440944766393E-2</v>
      </c>
      <c r="T62" s="80">
        <f t="shared" si="14"/>
        <v>3.513128692906918E-2</v>
      </c>
      <c r="U62" s="80">
        <f t="shared" si="15"/>
        <v>1.9673520680278746E-2</v>
      </c>
      <c r="V62" s="80">
        <f t="shared" si="16"/>
        <v>1.1017171580956097E-2</v>
      </c>
      <c r="W62" s="80">
        <f t="shared" si="17"/>
        <v>6.1696160853354142E-3</v>
      </c>
      <c r="X62" s="81">
        <f t="shared" si="18"/>
        <v>3.4549850077878327E-3</v>
      </c>
      <c r="Y62" s="82"/>
      <c r="Z62" s="83">
        <f t="shared" si="19"/>
        <v>2.9685063485651863E-4</v>
      </c>
      <c r="AA62" s="80">
        <f t="shared" si="20"/>
        <v>0.11202177964012468</v>
      </c>
      <c r="AB62" s="81">
        <f t="shared" si="21"/>
        <v>1.6062150187896937E-11</v>
      </c>
      <c r="AC62" s="27"/>
      <c r="AD62" s="27"/>
    </row>
    <row r="63" spans="1:30">
      <c r="A63" s="74">
        <f t="shared" si="0"/>
        <v>1</v>
      </c>
      <c r="B63" s="75">
        <v>30</v>
      </c>
      <c r="C63" s="127">
        <v>0.57999999999999996</v>
      </c>
      <c r="D63" s="84">
        <v>0.11481063283016341</v>
      </c>
      <c r="E63" s="124">
        <f t="shared" si="1"/>
        <v>0.33639999999999998</v>
      </c>
      <c r="F63" s="125">
        <f t="shared" si="2"/>
        <v>0.19511199999999998</v>
      </c>
      <c r="G63" s="125">
        <f t="shared" si="3"/>
        <v>0.11316495999999998</v>
      </c>
      <c r="H63" s="125">
        <f t="shared" si="4"/>
        <v>6.5635676799999987E-2</v>
      </c>
      <c r="I63" s="125">
        <f t="shared" si="5"/>
        <v>3.8068692543999992E-2</v>
      </c>
      <c r="J63" s="125">
        <f t="shared" si="6"/>
        <v>2.2079841675519993E-2</v>
      </c>
      <c r="K63" s="125">
        <f t="shared" si="7"/>
        <v>1.2806308171801596E-2</v>
      </c>
      <c r="L63" s="126">
        <f t="shared" si="8"/>
        <v>7.4276587396449253E-3</v>
      </c>
      <c r="M63" s="125">
        <f t="shared" si="9"/>
        <v>4.3080420689940568E-3</v>
      </c>
      <c r="N63" s="125">
        <f t="shared" si="10"/>
        <v>2.4986644000165527E-3</v>
      </c>
      <c r="O63" s="126">
        <f t="shared" si="11"/>
        <v>1.4492253520096005E-3</v>
      </c>
      <c r="P63" s="30"/>
      <c r="Q63" s="27"/>
      <c r="R63" s="80">
        <f t="shared" si="12"/>
        <v>0.11481063283016341</v>
      </c>
      <c r="S63" s="80">
        <f t="shared" si="13"/>
        <v>6.6590167041494772E-2</v>
      </c>
      <c r="T63" s="80">
        <f t="shared" si="14"/>
        <v>3.8622296884066966E-2</v>
      </c>
      <c r="U63" s="80">
        <f t="shared" si="15"/>
        <v>2.2400932192758839E-2</v>
      </c>
      <c r="V63" s="80">
        <f t="shared" si="16"/>
        <v>1.2992540671800126E-2</v>
      </c>
      <c r="W63" s="80">
        <f t="shared" si="17"/>
        <v>7.5356735896440728E-3</v>
      </c>
      <c r="X63" s="81">
        <f t="shared" si="18"/>
        <v>4.3706906819935623E-3</v>
      </c>
      <c r="Y63" s="82"/>
      <c r="Z63" s="83">
        <f t="shared" si="19"/>
        <v>4.0056817366345744E-4</v>
      </c>
      <c r="AA63" s="80">
        <f t="shared" si="20"/>
        <v>0.11480623573182303</v>
      </c>
      <c r="AB63" s="81">
        <f t="shared" si="21"/>
        <v>1.933447381497881E-11</v>
      </c>
      <c r="AC63" s="27"/>
      <c r="AD63" s="27"/>
    </row>
    <row r="64" spans="1:30">
      <c r="A64" s="74">
        <f t="shared" si="0"/>
        <v>1</v>
      </c>
      <c r="B64" s="75">
        <v>31</v>
      </c>
      <c r="C64" s="127">
        <v>0.6</v>
      </c>
      <c r="D64" s="84">
        <v>0.11752262833769907</v>
      </c>
      <c r="E64" s="124">
        <f t="shared" si="1"/>
        <v>0.36</v>
      </c>
      <c r="F64" s="125">
        <f t="shared" si="2"/>
        <v>0.216</v>
      </c>
      <c r="G64" s="125">
        <f t="shared" si="3"/>
        <v>0.12959999999999999</v>
      </c>
      <c r="H64" s="125">
        <f t="shared" si="4"/>
        <v>7.7759999999999996E-2</v>
      </c>
      <c r="I64" s="125">
        <f t="shared" si="5"/>
        <v>4.6655999999999996E-2</v>
      </c>
      <c r="J64" s="125">
        <f t="shared" si="6"/>
        <v>2.7993599999999997E-2</v>
      </c>
      <c r="K64" s="125">
        <f t="shared" si="7"/>
        <v>1.6796159999999997E-2</v>
      </c>
      <c r="L64" s="126">
        <f t="shared" si="8"/>
        <v>1.0077695999999999E-2</v>
      </c>
      <c r="M64" s="125">
        <f t="shared" si="9"/>
        <v>6.0466175999999991E-3</v>
      </c>
      <c r="N64" s="125">
        <f t="shared" si="10"/>
        <v>3.6279705599999994E-3</v>
      </c>
      <c r="O64" s="126">
        <f t="shared" si="11"/>
        <v>2.1767823359999995E-3</v>
      </c>
      <c r="P64" s="30"/>
      <c r="Q64" s="27"/>
      <c r="R64" s="80">
        <f t="shared" si="12"/>
        <v>0.11752262833769907</v>
      </c>
      <c r="S64" s="80">
        <f t="shared" si="13"/>
        <v>7.051357700261944E-2</v>
      </c>
      <c r="T64" s="80">
        <f t="shared" si="14"/>
        <v>4.230814620157166E-2</v>
      </c>
      <c r="U64" s="80">
        <f t="shared" si="15"/>
        <v>2.5384887720942998E-2</v>
      </c>
      <c r="V64" s="80">
        <f t="shared" si="16"/>
        <v>1.5230932632565797E-2</v>
      </c>
      <c r="W64" s="80">
        <f t="shared" si="17"/>
        <v>9.1385595795394781E-3</v>
      </c>
      <c r="X64" s="81">
        <f t="shared" si="18"/>
        <v>5.4831357477236869E-3</v>
      </c>
      <c r="Y64" s="82"/>
      <c r="Z64" s="83">
        <f t="shared" si="19"/>
        <v>5.1647993047927016E-4</v>
      </c>
      <c r="AA64" s="80">
        <f t="shared" si="20"/>
        <v>0.11751822063570752</v>
      </c>
      <c r="AB64" s="81">
        <f t="shared" si="21"/>
        <v>1.9427836846280025E-11</v>
      </c>
      <c r="AC64" s="27"/>
      <c r="AD64" s="27"/>
    </row>
    <row r="65" spans="1:30">
      <c r="A65" s="74">
        <f t="shared" si="0"/>
        <v>1</v>
      </c>
      <c r="B65" s="75">
        <v>32</v>
      </c>
      <c r="C65" s="127">
        <v>0.62</v>
      </c>
      <c r="D65" s="84">
        <v>0.12016362428291577</v>
      </c>
      <c r="E65" s="124">
        <f t="shared" si="1"/>
        <v>0.38440000000000002</v>
      </c>
      <c r="F65" s="125">
        <f t="shared" si="2"/>
        <v>0.23832800000000001</v>
      </c>
      <c r="G65" s="125">
        <f t="shared" si="3"/>
        <v>0.14776336000000001</v>
      </c>
      <c r="H65" s="125">
        <f t="shared" si="4"/>
        <v>9.1613283200000006E-2</v>
      </c>
      <c r="I65" s="125">
        <f t="shared" si="5"/>
        <v>5.6800235584000006E-2</v>
      </c>
      <c r="J65" s="125">
        <f t="shared" si="6"/>
        <v>3.5216146062080005E-2</v>
      </c>
      <c r="K65" s="125">
        <f t="shared" si="7"/>
        <v>2.1834010558489603E-2</v>
      </c>
      <c r="L65" s="126">
        <f t="shared" si="8"/>
        <v>1.3537086546263554E-2</v>
      </c>
      <c r="M65" s="125">
        <f t="shared" si="9"/>
        <v>8.3929936586834043E-3</v>
      </c>
      <c r="N65" s="125">
        <f t="shared" si="10"/>
        <v>5.2036560683837102E-3</v>
      </c>
      <c r="O65" s="126">
        <f t="shared" si="11"/>
        <v>3.2262667623979007E-3</v>
      </c>
      <c r="P65" s="30"/>
      <c r="Q65" s="27"/>
      <c r="R65" s="80">
        <f t="shared" si="12"/>
        <v>0.12016362428291577</v>
      </c>
      <c r="S65" s="80">
        <f t="shared" si="13"/>
        <v>7.4501447055407774E-2</v>
      </c>
      <c r="T65" s="80">
        <f t="shared" si="14"/>
        <v>4.6190897174352825E-2</v>
      </c>
      <c r="U65" s="80">
        <f t="shared" si="15"/>
        <v>2.863835624809875E-2</v>
      </c>
      <c r="V65" s="80">
        <f t="shared" si="16"/>
        <v>1.7755780873821226E-2</v>
      </c>
      <c r="W65" s="80">
        <f t="shared" si="17"/>
        <v>1.1008584141769161E-2</v>
      </c>
      <c r="X65" s="81">
        <f t="shared" si="18"/>
        <v>6.8253221678968795E-3</v>
      </c>
      <c r="Y65" s="82"/>
      <c r="Z65" s="83">
        <f t="shared" si="19"/>
        <v>6.4349436674145295E-4</v>
      </c>
      <c r="AA65" s="80">
        <f t="shared" si="20"/>
        <v>0.12015958995310953</v>
      </c>
      <c r="AB65" s="81">
        <f t="shared" si="21"/>
        <v>1.6275816985499188E-11</v>
      </c>
      <c r="AC65" s="27"/>
      <c r="AD65" s="27"/>
    </row>
    <row r="66" spans="1:30">
      <c r="A66" s="74">
        <f t="shared" si="0"/>
        <v>1</v>
      </c>
      <c r="B66" s="75">
        <v>33</v>
      </c>
      <c r="C66" s="127">
        <v>0.64</v>
      </c>
      <c r="D66" s="84">
        <v>0.12273546417055663</v>
      </c>
      <c r="E66" s="124">
        <f t="shared" si="1"/>
        <v>0.40960000000000002</v>
      </c>
      <c r="F66" s="125">
        <f t="shared" si="2"/>
        <v>0.26214400000000004</v>
      </c>
      <c r="G66" s="125">
        <f t="shared" si="3"/>
        <v>0.16777216</v>
      </c>
      <c r="H66" s="125">
        <f t="shared" si="4"/>
        <v>0.1073741824</v>
      </c>
      <c r="I66" s="125">
        <f t="shared" si="5"/>
        <v>6.8719476735999999E-2</v>
      </c>
      <c r="J66" s="125">
        <f t="shared" si="6"/>
        <v>4.3980465111040007E-2</v>
      </c>
      <c r="K66" s="125">
        <f t="shared" si="7"/>
        <v>2.8147497671065603E-2</v>
      </c>
      <c r="L66" s="126">
        <f t="shared" si="8"/>
        <v>1.8014398509481985E-2</v>
      </c>
      <c r="M66" s="125">
        <f t="shared" si="9"/>
        <v>1.1529215046068471E-2</v>
      </c>
      <c r="N66" s="125">
        <f t="shared" si="10"/>
        <v>7.3786976294838227E-3</v>
      </c>
      <c r="O66" s="126">
        <f t="shared" si="11"/>
        <v>4.7223664828696457E-3</v>
      </c>
      <c r="P66" s="30"/>
      <c r="Q66" s="27"/>
      <c r="R66" s="80">
        <f t="shared" si="12"/>
        <v>0.12273546417055663</v>
      </c>
      <c r="S66" s="80">
        <f t="shared" si="13"/>
        <v>7.8550697069156239E-2</v>
      </c>
      <c r="T66" s="80">
        <f t="shared" si="14"/>
        <v>5.0272446124259997E-2</v>
      </c>
      <c r="U66" s="80">
        <f t="shared" si="15"/>
        <v>3.2174365519526404E-2</v>
      </c>
      <c r="V66" s="80">
        <f t="shared" si="16"/>
        <v>2.0591593932496894E-2</v>
      </c>
      <c r="W66" s="80">
        <f t="shared" si="17"/>
        <v>1.3178620116798012E-2</v>
      </c>
      <c r="X66" s="81">
        <f t="shared" si="18"/>
        <v>8.4343168747507274E-3</v>
      </c>
      <c r="Y66" s="82"/>
      <c r="Z66" s="83">
        <f t="shared" si="19"/>
        <v>7.8058943318532793E-4</v>
      </c>
      <c r="AA66" s="80">
        <f t="shared" si="20"/>
        <v>0.1227321627347548</v>
      </c>
      <c r="AB66" s="81">
        <f t="shared" si="21"/>
        <v>1.0899478353554749E-11</v>
      </c>
      <c r="AC66" s="27"/>
      <c r="AD66" s="27"/>
    </row>
    <row r="67" spans="1:30">
      <c r="A67" s="74">
        <f t="shared" si="0"/>
        <v>1</v>
      </c>
      <c r="B67" s="75">
        <v>34</v>
      </c>
      <c r="C67" s="127">
        <v>0.66</v>
      </c>
      <c r="D67" s="84">
        <v>0.12523997852073007</v>
      </c>
      <c r="E67" s="124">
        <f t="shared" si="1"/>
        <v>0.43560000000000004</v>
      </c>
      <c r="F67" s="125">
        <f t="shared" si="2"/>
        <v>0.28749600000000003</v>
      </c>
      <c r="G67" s="125">
        <f t="shared" si="3"/>
        <v>0.18974736000000003</v>
      </c>
      <c r="H67" s="125">
        <f t="shared" si="4"/>
        <v>0.12523325760000004</v>
      </c>
      <c r="I67" s="125">
        <f t="shared" si="5"/>
        <v>8.2653950016000025E-2</v>
      </c>
      <c r="J67" s="125">
        <f t="shared" si="6"/>
        <v>5.4551607010560013E-2</v>
      </c>
      <c r="K67" s="125">
        <f t="shared" si="7"/>
        <v>3.6004060626969613E-2</v>
      </c>
      <c r="L67" s="126">
        <f t="shared" si="8"/>
        <v>2.3762680013799945E-2</v>
      </c>
      <c r="M67" s="125">
        <f t="shared" si="9"/>
        <v>1.5683368809107964E-2</v>
      </c>
      <c r="N67" s="125">
        <f t="shared" si="10"/>
        <v>1.0351023414011257E-2</v>
      </c>
      <c r="O67" s="126">
        <f t="shared" si="11"/>
        <v>6.8316754532474298E-3</v>
      </c>
      <c r="P67" s="30"/>
      <c r="Q67" s="27"/>
      <c r="R67" s="80">
        <f t="shared" si="12"/>
        <v>0.12523997852073007</v>
      </c>
      <c r="S67" s="80">
        <f t="shared" si="13"/>
        <v>8.2658385823681846E-2</v>
      </c>
      <c r="T67" s="80">
        <f t="shared" si="14"/>
        <v>5.4554534643630026E-2</v>
      </c>
      <c r="U67" s="80">
        <f t="shared" si="15"/>
        <v>3.6005992864795819E-2</v>
      </c>
      <c r="V67" s="80">
        <f t="shared" si="16"/>
        <v>2.3763955290765242E-2</v>
      </c>
      <c r="W67" s="80">
        <f t="shared" si="17"/>
        <v>1.5684210491905059E-2</v>
      </c>
      <c r="X67" s="81">
        <f t="shared" si="18"/>
        <v>1.035157892465734E-2</v>
      </c>
      <c r="Y67" s="82"/>
      <c r="Z67" s="83">
        <f t="shared" si="19"/>
        <v>9.2680943165857651E-4</v>
      </c>
      <c r="AA67" s="80">
        <f t="shared" si="20"/>
        <v>0.12523771550417007</v>
      </c>
      <c r="AB67" s="81">
        <f t="shared" si="21"/>
        <v>5.1212439508600998E-12</v>
      </c>
      <c r="AC67" s="27"/>
      <c r="AD67" s="27"/>
    </row>
    <row r="68" spans="1:30">
      <c r="A68" s="74">
        <f t="shared" si="0"/>
        <v>1</v>
      </c>
      <c r="B68" s="75">
        <v>35</v>
      </c>
      <c r="C68" s="127">
        <v>0.68</v>
      </c>
      <c r="D68" s="84">
        <v>0.12767897964510477</v>
      </c>
      <c r="E68" s="124">
        <f t="shared" si="1"/>
        <v>0.46240000000000009</v>
      </c>
      <c r="F68" s="125">
        <f t="shared" si="2"/>
        <v>0.3144320000000001</v>
      </c>
      <c r="G68" s="125">
        <f t="shared" si="3"/>
        <v>0.21381376000000007</v>
      </c>
      <c r="H68" s="125">
        <f t="shared" si="4"/>
        <v>0.14539335680000007</v>
      </c>
      <c r="I68" s="125">
        <f t="shared" si="5"/>
        <v>9.8867482624000053E-2</v>
      </c>
      <c r="J68" s="125">
        <f t="shared" si="6"/>
        <v>6.7229888184320047E-2</v>
      </c>
      <c r="K68" s="125">
        <f t="shared" si="7"/>
        <v>4.5716323965337632E-2</v>
      </c>
      <c r="L68" s="126">
        <f t="shared" si="8"/>
        <v>3.1087100296429592E-2</v>
      </c>
      <c r="M68" s="125">
        <f t="shared" si="9"/>
        <v>2.1139228201572127E-2</v>
      </c>
      <c r="N68" s="125">
        <f t="shared" si="10"/>
        <v>1.4374675177069047E-2</v>
      </c>
      <c r="O68" s="126">
        <f t="shared" si="11"/>
        <v>9.7747791204069526E-3</v>
      </c>
      <c r="P68" s="30"/>
      <c r="Q68" s="27"/>
      <c r="R68" s="80">
        <f t="shared" si="12"/>
        <v>0.12767897964510477</v>
      </c>
      <c r="S68" s="80">
        <f t="shared" si="13"/>
        <v>8.6821706158671255E-2</v>
      </c>
      <c r="T68" s="80">
        <f t="shared" si="14"/>
        <v>5.9038760187896458E-2</v>
      </c>
      <c r="U68" s="80">
        <f t="shared" si="15"/>
        <v>4.0146356927769598E-2</v>
      </c>
      <c r="V68" s="80">
        <f t="shared" si="16"/>
        <v>2.7299522710883328E-2</v>
      </c>
      <c r="W68" s="80">
        <f t="shared" si="17"/>
        <v>1.8563675443400665E-2</v>
      </c>
      <c r="X68" s="81">
        <f t="shared" si="18"/>
        <v>1.2623299301512453E-2</v>
      </c>
      <c r="Y68" s="82"/>
      <c r="Z68" s="83">
        <f t="shared" si="19"/>
        <v>1.0812618390724465E-3</v>
      </c>
      <c r="AA68" s="80">
        <f t="shared" si="20"/>
        <v>0.12767797883881807</v>
      </c>
      <c r="AB68" s="81">
        <f t="shared" si="21"/>
        <v>1.0016132235083894E-12</v>
      </c>
      <c r="AC68" s="27"/>
      <c r="AD68" s="27"/>
    </row>
    <row r="69" spans="1:30">
      <c r="A69" s="74">
        <f t="shared" si="0"/>
        <v>1</v>
      </c>
      <c r="B69" s="75">
        <v>36</v>
      </c>
      <c r="C69" s="127">
        <v>0.7</v>
      </c>
      <c r="D69" s="84">
        <v>0.13005425722570385</v>
      </c>
      <c r="E69" s="124">
        <f t="shared" si="1"/>
        <v>0.48999999999999994</v>
      </c>
      <c r="F69" s="125">
        <f t="shared" si="2"/>
        <v>0.34299999999999992</v>
      </c>
      <c r="G69" s="125">
        <f t="shared" si="3"/>
        <v>0.24009999999999992</v>
      </c>
      <c r="H69" s="125">
        <f t="shared" si="4"/>
        <v>0.16806999999999994</v>
      </c>
      <c r="I69" s="125">
        <f t="shared" si="5"/>
        <v>0.11764899999999995</v>
      </c>
      <c r="J69" s="125">
        <f t="shared" si="6"/>
        <v>8.235429999999995E-2</v>
      </c>
      <c r="K69" s="125">
        <f t="shared" si="7"/>
        <v>5.7648009999999965E-2</v>
      </c>
      <c r="L69" s="126">
        <f t="shared" si="8"/>
        <v>4.0353606999999972E-2</v>
      </c>
      <c r="M69" s="125">
        <f t="shared" si="9"/>
        <v>2.824752489999998E-2</v>
      </c>
      <c r="N69" s="125">
        <f t="shared" si="10"/>
        <v>1.9773267429999984E-2</v>
      </c>
      <c r="O69" s="126">
        <f t="shared" si="11"/>
        <v>1.3841287200999986E-2</v>
      </c>
      <c r="P69" s="30"/>
      <c r="Q69" s="27"/>
      <c r="R69" s="80">
        <f t="shared" si="12"/>
        <v>0.13005425722570385</v>
      </c>
      <c r="S69" s="80">
        <f t="shared" si="13"/>
        <v>9.1037980057992685E-2</v>
      </c>
      <c r="T69" s="80">
        <f t="shared" si="14"/>
        <v>6.3726586040594876E-2</v>
      </c>
      <c r="U69" s="80">
        <f t="shared" si="15"/>
        <v>4.4608610228416411E-2</v>
      </c>
      <c r="V69" s="80">
        <f t="shared" si="16"/>
        <v>3.1226027159891485E-2</v>
      </c>
      <c r="W69" s="80">
        <f t="shared" si="17"/>
        <v>2.185821901192404E-2</v>
      </c>
      <c r="X69" s="81">
        <f t="shared" si="18"/>
        <v>1.5300753308346826E-2</v>
      </c>
      <c r="Y69" s="82"/>
      <c r="Z69" s="83">
        <f t="shared" si="19"/>
        <v>1.2431141318221574E-3</v>
      </c>
      <c r="AA69" s="80">
        <f t="shared" si="20"/>
        <v>0.1300546365089604</v>
      </c>
      <c r="AB69" s="81">
        <f t="shared" si="21"/>
        <v>1.4385578870061353E-13</v>
      </c>
      <c r="AC69" s="27"/>
      <c r="AD69" s="27"/>
    </row>
    <row r="70" spans="1:30">
      <c r="A70" s="74">
        <f t="shared" si="0"/>
        <v>1</v>
      </c>
      <c r="B70" s="75">
        <v>37</v>
      </c>
      <c r="C70" s="127">
        <v>0.72</v>
      </c>
      <c r="D70" s="84">
        <v>0.13236757460316484</v>
      </c>
      <c r="E70" s="124">
        <f t="shared" si="1"/>
        <v>0.51839999999999997</v>
      </c>
      <c r="F70" s="125">
        <f t="shared" si="2"/>
        <v>0.37324799999999997</v>
      </c>
      <c r="G70" s="125">
        <f t="shared" si="3"/>
        <v>0.26873855999999996</v>
      </c>
      <c r="H70" s="125">
        <f t="shared" si="4"/>
        <v>0.19349176319999997</v>
      </c>
      <c r="I70" s="125">
        <f t="shared" si="5"/>
        <v>0.13931406950399997</v>
      </c>
      <c r="J70" s="125">
        <f t="shared" si="6"/>
        <v>0.10030613004287997</v>
      </c>
      <c r="K70" s="125">
        <f t="shared" si="7"/>
        <v>7.2220413630873573E-2</v>
      </c>
      <c r="L70" s="126">
        <f t="shared" si="8"/>
        <v>5.1998697814228972E-2</v>
      </c>
      <c r="M70" s="125">
        <f t="shared" si="9"/>
        <v>3.7439062426244861E-2</v>
      </c>
      <c r="N70" s="125">
        <f t="shared" si="10"/>
        <v>2.6956124946896295E-2</v>
      </c>
      <c r="O70" s="126">
        <f t="shared" si="11"/>
        <v>1.9408409961765332E-2</v>
      </c>
      <c r="P70" s="30"/>
      <c r="Q70" s="27"/>
      <c r="R70" s="80">
        <f t="shared" si="12"/>
        <v>0.13236757460316484</v>
      </c>
      <c r="S70" s="80">
        <f t="shared" si="13"/>
        <v>9.5304653714278681E-2</v>
      </c>
      <c r="T70" s="80">
        <f t="shared" si="14"/>
        <v>6.8619350674280655E-2</v>
      </c>
      <c r="U70" s="80">
        <f t="shared" si="15"/>
        <v>4.9405932485482064E-2</v>
      </c>
      <c r="V70" s="80">
        <f t="shared" si="16"/>
        <v>3.5572271389547085E-2</v>
      </c>
      <c r="W70" s="80">
        <f t="shared" si="17"/>
        <v>2.5612035400473902E-2</v>
      </c>
      <c r="X70" s="81">
        <f t="shared" si="18"/>
        <v>1.8440665488341206E-2</v>
      </c>
      <c r="Y70" s="82"/>
      <c r="Z70" s="83">
        <f t="shared" si="19"/>
        <v>1.4115906416087285E-3</v>
      </c>
      <c r="AA70" s="80">
        <f t="shared" si="20"/>
        <v>0.13236932717424874</v>
      </c>
      <c r="AB70" s="81">
        <f t="shared" si="21"/>
        <v>3.0715054041089202E-12</v>
      </c>
      <c r="AC70" s="27"/>
      <c r="AD70" s="27"/>
    </row>
    <row r="71" spans="1:30">
      <c r="A71" s="74">
        <f t="shared" si="0"/>
        <v>1</v>
      </c>
      <c r="B71" s="75">
        <v>38</v>
      </c>
      <c r="C71" s="127">
        <v>0.74</v>
      </c>
      <c r="D71" s="84">
        <v>0.13462066569114939</v>
      </c>
      <c r="E71" s="124">
        <f t="shared" si="1"/>
        <v>0.54759999999999998</v>
      </c>
      <c r="F71" s="125">
        <f t="shared" si="2"/>
        <v>0.40522399999999997</v>
      </c>
      <c r="G71" s="125">
        <f t="shared" si="3"/>
        <v>0.29986575999999998</v>
      </c>
      <c r="H71" s="125">
        <f t="shared" si="4"/>
        <v>0.22190066239999998</v>
      </c>
      <c r="I71" s="125">
        <f t="shared" si="5"/>
        <v>0.16420649017599998</v>
      </c>
      <c r="J71" s="125">
        <f t="shared" si="6"/>
        <v>0.12151280273023998</v>
      </c>
      <c r="K71" s="125">
        <f t="shared" si="7"/>
        <v>8.9919474020377588E-2</v>
      </c>
      <c r="L71" s="126">
        <f t="shared" si="8"/>
        <v>6.6540410775079412E-2</v>
      </c>
      <c r="M71" s="125">
        <f t="shared" si="9"/>
        <v>4.9239903973558763E-2</v>
      </c>
      <c r="N71" s="125">
        <f t="shared" si="10"/>
        <v>3.6437528940433485E-2</v>
      </c>
      <c r="O71" s="126">
        <f t="shared" si="11"/>
        <v>2.6963771415920778E-2</v>
      </c>
      <c r="P71" s="30"/>
      <c r="Q71" s="27"/>
      <c r="R71" s="80">
        <f t="shared" si="12"/>
        <v>0.13462066569114939</v>
      </c>
      <c r="S71" s="80">
        <f t="shared" si="13"/>
        <v>9.9619292611450541E-2</v>
      </c>
      <c r="T71" s="80">
        <f t="shared" si="14"/>
        <v>7.3718276532473398E-2</v>
      </c>
      <c r="U71" s="80">
        <f t="shared" si="15"/>
        <v>5.4551524634030318E-2</v>
      </c>
      <c r="V71" s="80">
        <f t="shared" si="16"/>
        <v>4.0368128229182433E-2</v>
      </c>
      <c r="W71" s="80">
        <f t="shared" si="17"/>
        <v>2.9872414889594998E-2</v>
      </c>
      <c r="X71" s="81">
        <f t="shared" si="18"/>
        <v>2.2105587018300298E-2</v>
      </c>
      <c r="Y71" s="82"/>
      <c r="Z71" s="83">
        <f t="shared" si="19"/>
        <v>1.585969467298342E-3</v>
      </c>
      <c r="AA71" s="80">
        <f t="shared" si="20"/>
        <v>0.1346236486380438</v>
      </c>
      <c r="AB71" s="81">
        <f t="shared" si="21"/>
        <v>8.8979721748625082E-12</v>
      </c>
      <c r="AC71" s="27"/>
      <c r="AD71" s="27"/>
    </row>
    <row r="72" spans="1:30">
      <c r="A72" s="74">
        <f t="shared" si="0"/>
        <v>1</v>
      </c>
      <c r="B72" s="75">
        <v>39</v>
      </c>
      <c r="C72" s="127">
        <v>0.76</v>
      </c>
      <c r="D72" s="84">
        <v>0.13681523244243027</v>
      </c>
      <c r="E72" s="124">
        <f t="shared" si="1"/>
        <v>0.5776</v>
      </c>
      <c r="F72" s="125">
        <f t="shared" si="2"/>
        <v>0.43897600000000003</v>
      </c>
      <c r="G72" s="125">
        <f t="shared" si="3"/>
        <v>0.33362175999999999</v>
      </c>
      <c r="H72" s="125">
        <f t="shared" si="4"/>
        <v>0.25355253760000002</v>
      </c>
      <c r="I72" s="125">
        <f t="shared" si="5"/>
        <v>0.19269992857599999</v>
      </c>
      <c r="J72" s="125">
        <f t="shared" si="6"/>
        <v>0.14645194571776002</v>
      </c>
      <c r="K72" s="125">
        <f t="shared" si="7"/>
        <v>0.11130347874549759</v>
      </c>
      <c r="L72" s="126">
        <f t="shared" si="8"/>
        <v>8.4590643846578176E-2</v>
      </c>
      <c r="M72" s="125">
        <f t="shared" si="9"/>
        <v>6.4288889323399406E-2</v>
      </c>
      <c r="N72" s="125">
        <f t="shared" si="10"/>
        <v>4.8859555885783557E-2</v>
      </c>
      <c r="O72" s="126">
        <f t="shared" si="11"/>
        <v>3.7133262473195497E-2</v>
      </c>
      <c r="P72" s="30"/>
      <c r="Q72" s="27"/>
      <c r="R72" s="80">
        <f t="shared" si="12"/>
        <v>0.13681523244243027</v>
      </c>
      <c r="S72" s="80">
        <f t="shared" si="13"/>
        <v>0.10397957665624701</v>
      </c>
      <c r="T72" s="80">
        <f t="shared" si="14"/>
        <v>7.9024478258747727E-2</v>
      </c>
      <c r="U72" s="80">
        <f t="shared" si="15"/>
        <v>6.0058603476648272E-2</v>
      </c>
      <c r="V72" s="80">
        <f t="shared" si="16"/>
        <v>4.564453864225268E-2</v>
      </c>
      <c r="W72" s="80">
        <f t="shared" si="17"/>
        <v>3.4689849368112043E-2</v>
      </c>
      <c r="X72" s="81">
        <f t="shared" si="18"/>
        <v>2.6364285519765149E-2</v>
      </c>
      <c r="Y72" s="82"/>
      <c r="Z72" s="83">
        <f t="shared" si="19"/>
        <v>1.7655794621205026E-3</v>
      </c>
      <c r="AA72" s="80">
        <f t="shared" si="20"/>
        <v>0.13681916465946264</v>
      </c>
      <c r="AB72" s="81">
        <f t="shared" si="21"/>
        <v>1.5462330789710586E-11</v>
      </c>
      <c r="AC72" s="27"/>
      <c r="AD72" s="27"/>
    </row>
    <row r="73" spans="1:30">
      <c r="A73" s="74">
        <f t="shared" si="0"/>
        <v>1</v>
      </c>
      <c r="B73" s="75">
        <v>40</v>
      </c>
      <c r="C73" s="127">
        <v>0.78</v>
      </c>
      <c r="D73" s="84">
        <v>0.1389529428001437</v>
      </c>
      <c r="E73" s="124">
        <f t="shared" si="1"/>
        <v>0.60840000000000005</v>
      </c>
      <c r="F73" s="125">
        <f t="shared" si="2"/>
        <v>0.47455200000000003</v>
      </c>
      <c r="G73" s="125">
        <f t="shared" si="3"/>
        <v>0.37015056000000007</v>
      </c>
      <c r="H73" s="125">
        <f t="shared" si="4"/>
        <v>0.28871743680000006</v>
      </c>
      <c r="I73" s="125">
        <f t="shared" si="5"/>
        <v>0.22519960070400005</v>
      </c>
      <c r="J73" s="125">
        <f t="shared" si="6"/>
        <v>0.17565568854912006</v>
      </c>
      <c r="K73" s="125">
        <f t="shared" si="7"/>
        <v>0.13701143706831365</v>
      </c>
      <c r="L73" s="126">
        <f t="shared" si="8"/>
        <v>0.10686892091328465</v>
      </c>
      <c r="M73" s="125">
        <f t="shared" si="9"/>
        <v>8.3357758312362029E-2</v>
      </c>
      <c r="N73" s="125">
        <f t="shared" si="10"/>
        <v>6.5019051483642384E-2</v>
      </c>
      <c r="O73" s="126">
        <f t="shared" si="11"/>
        <v>5.0714860157241061E-2</v>
      </c>
      <c r="P73" s="30"/>
      <c r="Q73" s="27"/>
      <c r="R73" s="80">
        <f t="shared" si="12"/>
        <v>0.1389529428001437</v>
      </c>
      <c r="S73" s="80">
        <f t="shared" si="13"/>
        <v>0.10838329538411209</v>
      </c>
      <c r="T73" s="80">
        <f t="shared" si="14"/>
        <v>8.4538970399607435E-2</v>
      </c>
      <c r="U73" s="80">
        <f t="shared" si="15"/>
        <v>6.5940396911693802E-2</v>
      </c>
      <c r="V73" s="80">
        <f t="shared" si="16"/>
        <v>5.1433509591121168E-2</v>
      </c>
      <c r="W73" s="80">
        <f t="shared" si="17"/>
        <v>4.0118137481074512E-2</v>
      </c>
      <c r="X73" s="81">
        <f t="shared" si="18"/>
        <v>3.129214723523812E-2</v>
      </c>
      <c r="Y73" s="82"/>
      <c r="Z73" s="83">
        <f t="shared" si="19"/>
        <v>1.949797311005468E-3</v>
      </c>
      <c r="AA73" s="80">
        <f t="shared" si="20"/>
        <v>0.13895741432315406</v>
      </c>
      <c r="AB73" s="81">
        <f t="shared" si="21"/>
        <v>1.9994518032206966E-11</v>
      </c>
      <c r="AC73" s="27"/>
      <c r="AD73" s="27"/>
    </row>
    <row r="74" spans="1:30">
      <c r="A74" s="74">
        <f t="shared" si="0"/>
        <v>1</v>
      </c>
      <c r="B74" s="75">
        <v>41</v>
      </c>
      <c r="C74" s="127">
        <v>0.8</v>
      </c>
      <c r="D74" s="84">
        <v>0.14103542907485309</v>
      </c>
      <c r="E74" s="124">
        <f t="shared" si="1"/>
        <v>0.64000000000000012</v>
      </c>
      <c r="F74" s="125">
        <f t="shared" si="2"/>
        <v>0.51200000000000012</v>
      </c>
      <c r="G74" s="125">
        <f t="shared" si="3"/>
        <v>0.40960000000000019</v>
      </c>
      <c r="H74" s="125">
        <f t="shared" si="4"/>
        <v>0.32768000000000019</v>
      </c>
      <c r="I74" s="125">
        <f t="shared" si="5"/>
        <v>0.26214400000000015</v>
      </c>
      <c r="J74" s="125">
        <f t="shared" si="6"/>
        <v>0.20971520000000016</v>
      </c>
      <c r="K74" s="125">
        <f t="shared" si="7"/>
        <v>0.16777216000000014</v>
      </c>
      <c r="L74" s="126">
        <f t="shared" si="8"/>
        <v>0.13421772800000012</v>
      </c>
      <c r="M74" s="125">
        <f t="shared" si="9"/>
        <v>0.10737418240000011</v>
      </c>
      <c r="N74" s="125">
        <f t="shared" si="10"/>
        <v>8.5899345920000092E-2</v>
      </c>
      <c r="O74" s="126">
        <f t="shared" si="11"/>
        <v>6.8719476736000096E-2</v>
      </c>
      <c r="P74" s="30"/>
      <c r="Q74" s="27"/>
      <c r="R74" s="80">
        <f t="shared" si="12"/>
        <v>0.14103542907485309</v>
      </c>
      <c r="S74" s="80">
        <f t="shared" si="13"/>
        <v>0.11282834325988247</v>
      </c>
      <c r="T74" s="80">
        <f t="shared" si="14"/>
        <v>9.0262674607905991E-2</v>
      </c>
      <c r="U74" s="80">
        <f t="shared" si="15"/>
        <v>7.2210139686324795E-2</v>
      </c>
      <c r="V74" s="80">
        <f t="shared" si="16"/>
        <v>5.7768111749059853E-2</v>
      </c>
      <c r="W74" s="80">
        <f t="shared" si="17"/>
        <v>4.6214489399247889E-2</v>
      </c>
      <c r="X74" s="81">
        <f t="shared" si="18"/>
        <v>3.6971591519398307E-2</v>
      </c>
      <c r="Y74" s="82"/>
      <c r="Z74" s="83">
        <f t="shared" si="19"/>
        <v>2.1380447090819537E-3</v>
      </c>
      <c r="AA74" s="80">
        <f t="shared" si="20"/>
        <v>0.1410399239668019</v>
      </c>
      <c r="AB74" s="81">
        <f t="shared" si="21"/>
        <v>2.0204053631514172E-11</v>
      </c>
      <c r="AC74" s="27"/>
      <c r="AD74" s="27"/>
    </row>
    <row r="75" spans="1:30">
      <c r="A75" s="74">
        <f t="shared" si="0"/>
        <v>1</v>
      </c>
      <c r="B75" s="75">
        <v>42</v>
      </c>
      <c r="C75" s="127">
        <v>0.82</v>
      </c>
      <c r="D75" s="84">
        <v>0.14306428669451057</v>
      </c>
      <c r="E75" s="124">
        <f t="shared" si="1"/>
        <v>0.67239999999999989</v>
      </c>
      <c r="F75" s="125">
        <f t="shared" si="2"/>
        <v>0.55136799999999986</v>
      </c>
      <c r="G75" s="125">
        <f t="shared" si="3"/>
        <v>0.45212175999999987</v>
      </c>
      <c r="H75" s="125">
        <f t="shared" si="4"/>
        <v>0.37073984319999986</v>
      </c>
      <c r="I75" s="125">
        <f t="shared" si="5"/>
        <v>0.30400667142399984</v>
      </c>
      <c r="J75" s="125">
        <f t="shared" si="6"/>
        <v>0.24928547056767986</v>
      </c>
      <c r="K75" s="125">
        <f t="shared" si="7"/>
        <v>0.20441408586549747</v>
      </c>
      <c r="L75" s="126">
        <f t="shared" si="8"/>
        <v>0.16761955040970791</v>
      </c>
      <c r="M75" s="125">
        <f t="shared" si="9"/>
        <v>0.13744803133596048</v>
      </c>
      <c r="N75" s="125">
        <f t="shared" si="10"/>
        <v>0.11270738569548758</v>
      </c>
      <c r="O75" s="126">
        <f t="shared" si="11"/>
        <v>9.2420056270299811E-2</v>
      </c>
      <c r="P75" s="30"/>
      <c r="Q75" s="27"/>
      <c r="R75" s="80">
        <f t="shared" si="12"/>
        <v>0.14306428669451057</v>
      </c>
      <c r="S75" s="80">
        <f t="shared" si="13"/>
        <v>0.11731271508949866</v>
      </c>
      <c r="T75" s="80">
        <f t="shared" si="14"/>
        <v>9.6196426373388891E-2</v>
      </c>
      <c r="U75" s="80">
        <f t="shared" si="15"/>
        <v>7.8881069626178885E-2</v>
      </c>
      <c r="V75" s="80">
        <f t="shared" si="16"/>
        <v>6.4682477093466681E-2</v>
      </c>
      <c r="W75" s="80">
        <f t="shared" si="17"/>
        <v>5.303963121664268E-2</v>
      </c>
      <c r="X75" s="81">
        <f t="shared" si="18"/>
        <v>4.3492497597646985E-2</v>
      </c>
      <c r="Y75" s="82"/>
      <c r="Z75" s="83">
        <f t="shared" si="19"/>
        <v>2.3297856491994937E-3</v>
      </c>
      <c r="AA75" s="80">
        <f t="shared" si="20"/>
        <v>0.14306822166635672</v>
      </c>
      <c r="AB75" s="81">
        <f t="shared" si="21"/>
        <v>1.5484003429932796E-11</v>
      </c>
      <c r="AC75" s="27"/>
      <c r="AD75" s="27"/>
    </row>
    <row r="76" spans="1:30">
      <c r="A76" s="74">
        <f t="shared" si="0"/>
        <v>1</v>
      </c>
      <c r="B76" s="75">
        <v>43</v>
      </c>
      <c r="C76" s="127">
        <v>0.84</v>
      </c>
      <c r="D76" s="84">
        <v>0.1450410732801814</v>
      </c>
      <c r="E76" s="124">
        <f t="shared" si="1"/>
        <v>0.70559999999999989</v>
      </c>
      <c r="F76" s="125">
        <f t="shared" si="2"/>
        <v>0.5927039999999999</v>
      </c>
      <c r="G76" s="125">
        <f t="shared" si="3"/>
        <v>0.49787135999999987</v>
      </c>
      <c r="H76" s="125">
        <f t="shared" si="4"/>
        <v>0.41821194239999987</v>
      </c>
      <c r="I76" s="125">
        <f t="shared" si="5"/>
        <v>0.35129803161599987</v>
      </c>
      <c r="J76" s="125">
        <f t="shared" si="6"/>
        <v>0.29509034655743988</v>
      </c>
      <c r="K76" s="125">
        <f t="shared" si="7"/>
        <v>0.24787589110824948</v>
      </c>
      <c r="L76" s="126">
        <f t="shared" si="8"/>
        <v>0.20821574853092956</v>
      </c>
      <c r="M76" s="125">
        <f t="shared" si="9"/>
        <v>0.1749012287659808</v>
      </c>
      <c r="N76" s="125">
        <f t="shared" si="10"/>
        <v>0.14691703216342386</v>
      </c>
      <c r="O76" s="126">
        <f t="shared" si="11"/>
        <v>0.12341030701727604</v>
      </c>
      <c r="P76" s="30"/>
      <c r="Q76" s="27"/>
      <c r="R76" s="80">
        <f t="shared" si="12"/>
        <v>0.1450410732801814</v>
      </c>
      <c r="S76" s="80">
        <f t="shared" si="13"/>
        <v>0.12183450155535237</v>
      </c>
      <c r="T76" s="80">
        <f t="shared" si="14"/>
        <v>0.10234098130649598</v>
      </c>
      <c r="U76" s="80">
        <f t="shared" si="15"/>
        <v>8.5966424297456615E-2</v>
      </c>
      <c r="V76" s="80">
        <f t="shared" si="16"/>
        <v>7.2211796409863555E-2</v>
      </c>
      <c r="W76" s="80">
        <f t="shared" si="17"/>
        <v>6.0657908984285386E-2</v>
      </c>
      <c r="X76" s="81">
        <f t="shared" si="18"/>
        <v>5.0952643546799722E-2</v>
      </c>
      <c r="Y76" s="82"/>
      <c r="Z76" s="83">
        <f t="shared" si="19"/>
        <v>2.5245238237178833E-3</v>
      </c>
      <c r="AA76" s="80">
        <f t="shared" si="20"/>
        <v>0.14504385427899538</v>
      </c>
      <c r="AB76" s="81">
        <f t="shared" si="21"/>
        <v>7.7339544033790137E-12</v>
      </c>
      <c r="AC76" s="27"/>
      <c r="AD76" s="27"/>
    </row>
    <row r="77" spans="1:30">
      <c r="A77" s="74">
        <f t="shared" si="0"/>
        <v>1</v>
      </c>
      <c r="B77" s="75">
        <v>44</v>
      </c>
      <c r="C77" s="127">
        <v>0.86</v>
      </c>
      <c r="D77" s="84">
        <v>0.14696730800558797</v>
      </c>
      <c r="E77" s="124">
        <f t="shared" si="1"/>
        <v>0.73959999999999992</v>
      </c>
      <c r="F77" s="125">
        <f t="shared" si="2"/>
        <v>0.63605599999999995</v>
      </c>
      <c r="G77" s="125">
        <f t="shared" si="3"/>
        <v>0.54700815999999985</v>
      </c>
      <c r="H77" s="125">
        <f t="shared" si="4"/>
        <v>0.47042701759999989</v>
      </c>
      <c r="I77" s="125">
        <f t="shared" si="5"/>
        <v>0.40456723513599985</v>
      </c>
      <c r="J77" s="125">
        <f t="shared" si="6"/>
        <v>0.34792782221695989</v>
      </c>
      <c r="K77" s="125">
        <f t="shared" si="7"/>
        <v>0.29921792710658546</v>
      </c>
      <c r="L77" s="126">
        <f t="shared" si="8"/>
        <v>0.25732741731166348</v>
      </c>
      <c r="M77" s="125">
        <f t="shared" si="9"/>
        <v>0.22130157888803059</v>
      </c>
      <c r="N77" s="125">
        <f t="shared" si="10"/>
        <v>0.19031935784370629</v>
      </c>
      <c r="O77" s="126">
        <f t="shared" si="11"/>
        <v>0.1636746477455874</v>
      </c>
      <c r="P77" s="30"/>
      <c r="Q77" s="27"/>
      <c r="R77" s="80">
        <f t="shared" si="12"/>
        <v>0.14696730800558797</v>
      </c>
      <c r="S77" s="80">
        <f t="shared" si="13"/>
        <v>0.12639188488480566</v>
      </c>
      <c r="T77" s="80">
        <f t="shared" si="14"/>
        <v>0.10869702100093284</v>
      </c>
      <c r="U77" s="80">
        <f t="shared" si="15"/>
        <v>9.347943806080225E-2</v>
      </c>
      <c r="V77" s="80">
        <f t="shared" si="16"/>
        <v>8.0392316732289915E-2</v>
      </c>
      <c r="W77" s="80">
        <f t="shared" si="17"/>
        <v>6.9137392389769334E-2</v>
      </c>
      <c r="X77" s="81">
        <f t="shared" si="18"/>
        <v>5.9458157455201617E-2</v>
      </c>
      <c r="Y77" s="82"/>
      <c r="Z77" s="83">
        <f t="shared" si="19"/>
        <v>2.721800143643472E-3</v>
      </c>
      <c r="AA77" s="80">
        <f t="shared" si="20"/>
        <v>0.14696840704380851</v>
      </c>
      <c r="AB77" s="81">
        <f t="shared" si="21"/>
        <v>1.2078850102126705E-12</v>
      </c>
      <c r="AC77" s="27"/>
      <c r="AD77" s="27"/>
    </row>
    <row r="78" spans="1:30">
      <c r="A78" s="74">
        <f t="shared" si="0"/>
        <v>1</v>
      </c>
      <c r="B78" s="75">
        <v>45</v>
      </c>
      <c r="C78" s="127">
        <v>0.88</v>
      </c>
      <c r="D78" s="84">
        <v>0.14884447120318894</v>
      </c>
      <c r="E78" s="124">
        <f t="shared" si="1"/>
        <v>0.77439999999999998</v>
      </c>
      <c r="F78" s="125">
        <f t="shared" si="2"/>
        <v>0.68147199999999997</v>
      </c>
      <c r="G78" s="125">
        <f t="shared" si="3"/>
        <v>0.59969536000000001</v>
      </c>
      <c r="H78" s="125">
        <f t="shared" si="4"/>
        <v>0.52773191679999998</v>
      </c>
      <c r="I78" s="125">
        <f t="shared" si="5"/>
        <v>0.46440408678399997</v>
      </c>
      <c r="J78" s="125">
        <f t="shared" si="6"/>
        <v>0.40867559636992001</v>
      </c>
      <c r="K78" s="125">
        <f t="shared" si="7"/>
        <v>0.3596345248055296</v>
      </c>
      <c r="L78" s="126">
        <f t="shared" si="8"/>
        <v>0.31647838182886606</v>
      </c>
      <c r="M78" s="125">
        <f t="shared" si="9"/>
        <v>0.2785009760094021</v>
      </c>
      <c r="N78" s="125">
        <f t="shared" si="10"/>
        <v>0.24508085888827386</v>
      </c>
      <c r="O78" s="126">
        <f t="shared" si="11"/>
        <v>0.215671155821681</v>
      </c>
      <c r="P78" s="30"/>
      <c r="Q78" s="27"/>
      <c r="R78" s="80">
        <f t="shared" si="12"/>
        <v>0.14884447120318894</v>
      </c>
      <c r="S78" s="80">
        <f t="shared" si="13"/>
        <v>0.13098313465880626</v>
      </c>
      <c r="T78" s="80">
        <f t="shared" si="14"/>
        <v>0.11526515849974951</v>
      </c>
      <c r="U78" s="80">
        <f t="shared" si="15"/>
        <v>0.10143333947977957</v>
      </c>
      <c r="V78" s="80">
        <f t="shared" si="16"/>
        <v>8.9261338742206028E-2</v>
      </c>
      <c r="W78" s="80">
        <f t="shared" si="17"/>
        <v>7.8549978093141307E-2</v>
      </c>
      <c r="X78" s="81">
        <f t="shared" si="18"/>
        <v>6.9123980721964337E-2</v>
      </c>
      <c r="Y78" s="82"/>
      <c r="Z78" s="83">
        <f t="shared" si="19"/>
        <v>2.9211903764218188E-3</v>
      </c>
      <c r="AA78" s="80">
        <f t="shared" si="20"/>
        <v>0.14884352574021684</v>
      </c>
      <c r="AB78" s="81">
        <f t="shared" si="21"/>
        <v>8.9390023162595317E-13</v>
      </c>
      <c r="AC78" s="27"/>
      <c r="AD78" s="27"/>
    </row>
    <row r="79" spans="1:30">
      <c r="A79" s="74">
        <f t="shared" si="0"/>
        <v>1</v>
      </c>
      <c r="B79" s="75">
        <v>46</v>
      </c>
      <c r="C79" s="127">
        <v>0.9</v>
      </c>
      <c r="D79" s="84">
        <v>0.15067400418367366</v>
      </c>
      <c r="E79" s="124">
        <f t="shared" si="1"/>
        <v>0.81</v>
      </c>
      <c r="F79" s="125">
        <f t="shared" si="2"/>
        <v>0.72900000000000009</v>
      </c>
      <c r="G79" s="125">
        <f t="shared" si="3"/>
        <v>0.65610000000000013</v>
      </c>
      <c r="H79" s="125">
        <f t="shared" si="4"/>
        <v>0.59049000000000018</v>
      </c>
      <c r="I79" s="125">
        <f t="shared" si="5"/>
        <v>0.53144100000000016</v>
      </c>
      <c r="J79" s="125">
        <f t="shared" si="6"/>
        <v>0.47829690000000014</v>
      </c>
      <c r="K79" s="125">
        <f t="shared" si="7"/>
        <v>0.43046721000000016</v>
      </c>
      <c r="L79" s="126">
        <f t="shared" si="8"/>
        <v>0.38742048900000015</v>
      </c>
      <c r="M79" s="125">
        <f t="shared" si="9"/>
        <v>0.34867844010000015</v>
      </c>
      <c r="N79" s="125">
        <f t="shared" si="10"/>
        <v>0.31381059609000017</v>
      </c>
      <c r="O79" s="126">
        <f t="shared" si="11"/>
        <v>0.28242953648100017</v>
      </c>
      <c r="P79" s="30"/>
      <c r="Q79" s="27"/>
      <c r="R79" s="80">
        <f t="shared" si="12"/>
        <v>0.15067400418367366</v>
      </c>
      <c r="S79" s="80">
        <f t="shared" si="13"/>
        <v>0.13560660376530631</v>
      </c>
      <c r="T79" s="80">
        <f t="shared" si="14"/>
        <v>0.12204594338877567</v>
      </c>
      <c r="U79" s="80">
        <f t="shared" si="15"/>
        <v>0.10984134904989812</v>
      </c>
      <c r="V79" s="80">
        <f t="shared" si="16"/>
        <v>9.8857214144908306E-2</v>
      </c>
      <c r="W79" s="80">
        <f t="shared" si="17"/>
        <v>8.897149273041749E-2</v>
      </c>
      <c r="X79" s="81">
        <f t="shared" si="18"/>
        <v>8.0074343457375741E-2</v>
      </c>
      <c r="Y79" s="82"/>
      <c r="Z79" s="83">
        <f t="shared" si="19"/>
        <v>3.1223029022590227E-3</v>
      </c>
      <c r="AA79" s="80">
        <f t="shared" si="20"/>
        <v>0.15067094140411427</v>
      </c>
      <c r="AB79" s="81">
        <f t="shared" si="21"/>
        <v>9.3806186294011858E-12</v>
      </c>
      <c r="AC79" s="27"/>
      <c r="AD79" s="27"/>
    </row>
    <row r="80" spans="1:30">
      <c r="A80" s="74">
        <f t="shared" si="0"/>
        <v>1</v>
      </c>
      <c r="B80" s="75">
        <v>47</v>
      </c>
      <c r="C80" s="127">
        <v>0.92</v>
      </c>
      <c r="D80" s="84">
        <v>0.15245730923949821</v>
      </c>
      <c r="E80" s="124">
        <f t="shared" si="1"/>
        <v>0.84640000000000004</v>
      </c>
      <c r="F80" s="125">
        <f t="shared" si="2"/>
        <v>0.77868800000000005</v>
      </c>
      <c r="G80" s="125">
        <f t="shared" si="3"/>
        <v>0.71639296000000008</v>
      </c>
      <c r="H80" s="125">
        <f t="shared" si="4"/>
        <v>0.65908152320000013</v>
      </c>
      <c r="I80" s="125">
        <f t="shared" si="5"/>
        <v>0.60635500134400011</v>
      </c>
      <c r="J80" s="125">
        <f t="shared" si="6"/>
        <v>0.55784660123648011</v>
      </c>
      <c r="K80" s="125">
        <f t="shared" si="7"/>
        <v>0.51321887313756176</v>
      </c>
      <c r="L80" s="126">
        <f t="shared" si="8"/>
        <v>0.47216136328655683</v>
      </c>
      <c r="M80" s="125">
        <f t="shared" si="9"/>
        <v>0.43438845422363231</v>
      </c>
      <c r="N80" s="125">
        <f t="shared" si="10"/>
        <v>0.39963737788574172</v>
      </c>
      <c r="O80" s="126">
        <f t="shared" si="11"/>
        <v>0.36766638765488241</v>
      </c>
      <c r="P80" s="30"/>
      <c r="Q80" s="27"/>
      <c r="R80" s="80">
        <f t="shared" si="12"/>
        <v>0.15245730923949821</v>
      </c>
      <c r="S80" s="80">
        <f t="shared" si="13"/>
        <v>0.14026072450033836</v>
      </c>
      <c r="T80" s="80">
        <f t="shared" si="14"/>
        <v>0.1290398665403113</v>
      </c>
      <c r="U80" s="80">
        <f t="shared" si="15"/>
        <v>0.1187166772170864</v>
      </c>
      <c r="V80" s="80">
        <f t="shared" si="16"/>
        <v>0.10921934303971949</v>
      </c>
      <c r="W80" s="80">
        <f t="shared" si="17"/>
        <v>0.10048179559654194</v>
      </c>
      <c r="X80" s="81">
        <f t="shared" si="18"/>
        <v>9.2443251948818583E-2</v>
      </c>
      <c r="Y80" s="82"/>
      <c r="Z80" s="83">
        <f t="shared" si="19"/>
        <v>3.3247765876922102E-3</v>
      </c>
      <c r="AA80" s="80">
        <f t="shared" si="20"/>
        <v>0.15245249760174076</v>
      </c>
      <c r="AB80" s="81">
        <f t="shared" si="21"/>
        <v>2.3151857908932079E-11</v>
      </c>
      <c r="AC80" s="27"/>
      <c r="AD80" s="27"/>
    </row>
    <row r="81" spans="1:30">
      <c r="A81" s="74">
        <f t="shared" si="0"/>
        <v>1</v>
      </c>
      <c r="B81" s="75">
        <v>48</v>
      </c>
      <c r="C81" s="127">
        <v>0.94</v>
      </c>
      <c r="D81" s="84">
        <v>0.15419574980642692</v>
      </c>
      <c r="E81" s="124">
        <f t="shared" si="1"/>
        <v>0.88359999999999994</v>
      </c>
      <c r="F81" s="125">
        <f t="shared" si="2"/>
        <v>0.83058399999999988</v>
      </c>
      <c r="G81" s="125">
        <f t="shared" si="3"/>
        <v>0.78074895999999994</v>
      </c>
      <c r="H81" s="125">
        <f t="shared" si="4"/>
        <v>0.73390402239999986</v>
      </c>
      <c r="I81" s="125">
        <f t="shared" si="5"/>
        <v>0.68986978105599994</v>
      </c>
      <c r="J81" s="125">
        <f t="shared" si="6"/>
        <v>0.64847759419263984</v>
      </c>
      <c r="K81" s="125">
        <f t="shared" si="7"/>
        <v>0.60956893854108152</v>
      </c>
      <c r="L81" s="126">
        <f t="shared" si="8"/>
        <v>0.57299480222861654</v>
      </c>
      <c r="M81" s="125">
        <f t="shared" si="9"/>
        <v>0.53861511409489959</v>
      </c>
      <c r="N81" s="125">
        <f t="shared" si="10"/>
        <v>0.5062982072492056</v>
      </c>
      <c r="O81" s="126">
        <f t="shared" si="11"/>
        <v>0.47592031481425329</v>
      </c>
      <c r="P81" s="30"/>
      <c r="Q81" s="27"/>
      <c r="R81" s="80">
        <f t="shared" si="12"/>
        <v>0.15419574980642692</v>
      </c>
      <c r="S81" s="80">
        <f t="shared" si="13"/>
        <v>0.14494400481804129</v>
      </c>
      <c r="T81" s="80">
        <f t="shared" si="14"/>
        <v>0.1362473645289588</v>
      </c>
      <c r="U81" s="80">
        <f t="shared" si="15"/>
        <v>0.12807252265722127</v>
      </c>
      <c r="V81" s="80">
        <f t="shared" si="16"/>
        <v>0.120388171297788</v>
      </c>
      <c r="W81" s="80">
        <f t="shared" si="17"/>
        <v>0.11316488101992071</v>
      </c>
      <c r="X81" s="81">
        <f t="shared" si="18"/>
        <v>0.10637498815872548</v>
      </c>
      <c r="Y81" s="82"/>
      <c r="Z81" s="83">
        <f t="shared" si="19"/>
        <v>3.5282787742162013E-3</v>
      </c>
      <c r="AA81" s="80">
        <f t="shared" si="20"/>
        <v>0.15419018026128173</v>
      </c>
      <c r="AB81" s="81">
        <f t="shared" si="21"/>
        <v>3.1019833124307423E-11</v>
      </c>
      <c r="AC81" s="27"/>
      <c r="AD81" s="27"/>
    </row>
    <row r="82" spans="1:30">
      <c r="A82" s="74">
        <f t="shared" si="0"/>
        <v>1</v>
      </c>
      <c r="B82" s="75">
        <v>49</v>
      </c>
      <c r="C82" s="127">
        <v>0.96</v>
      </c>
      <c r="D82" s="84">
        <v>0.15589065076003822</v>
      </c>
      <c r="E82" s="124">
        <f t="shared" si="1"/>
        <v>0.92159999999999997</v>
      </c>
      <c r="F82" s="125">
        <f t="shared" si="2"/>
        <v>0.88473599999999997</v>
      </c>
      <c r="G82" s="125">
        <f t="shared" si="3"/>
        <v>0.84934655999999997</v>
      </c>
      <c r="H82" s="125">
        <f t="shared" si="4"/>
        <v>0.81537269759999997</v>
      </c>
      <c r="I82" s="125">
        <f t="shared" si="5"/>
        <v>0.78275778969599996</v>
      </c>
      <c r="J82" s="125">
        <f t="shared" si="6"/>
        <v>0.75144747810815993</v>
      </c>
      <c r="K82" s="125">
        <f t="shared" si="7"/>
        <v>0.7213895789838336</v>
      </c>
      <c r="L82" s="126">
        <f t="shared" si="8"/>
        <v>0.69253399582448028</v>
      </c>
      <c r="M82" s="125">
        <f t="shared" si="9"/>
        <v>0.664832635991501</v>
      </c>
      <c r="N82" s="125">
        <f t="shared" si="10"/>
        <v>0.63823933055184101</v>
      </c>
      <c r="O82" s="126">
        <f t="shared" si="11"/>
        <v>0.61270975732976729</v>
      </c>
      <c r="P82" s="30"/>
      <c r="Q82" s="27"/>
      <c r="R82" s="80">
        <f t="shared" si="12"/>
        <v>0.15589065076003822</v>
      </c>
      <c r="S82" s="80">
        <f t="shared" si="13"/>
        <v>0.14965502472963668</v>
      </c>
      <c r="T82" s="80">
        <f t="shared" si="14"/>
        <v>0.14366882374045123</v>
      </c>
      <c r="U82" s="80">
        <f t="shared" si="15"/>
        <v>0.13792207079083316</v>
      </c>
      <c r="V82" s="80">
        <f t="shared" si="16"/>
        <v>0.13240518795919984</v>
      </c>
      <c r="W82" s="80">
        <f t="shared" si="17"/>
        <v>0.12710898044083185</v>
      </c>
      <c r="X82" s="81">
        <f t="shared" si="18"/>
        <v>0.12202462122319857</v>
      </c>
      <c r="Y82" s="82"/>
      <c r="Z82" s="83">
        <f t="shared" si="19"/>
        <v>3.7325033790634203E-3</v>
      </c>
      <c r="AA82" s="80">
        <f t="shared" si="20"/>
        <v>0.15588615006219658</v>
      </c>
      <c r="AB82" s="81">
        <f t="shared" si="21"/>
        <v>2.0256281061708777E-11</v>
      </c>
      <c r="AC82" s="27"/>
      <c r="AD82" s="27"/>
    </row>
    <row r="83" spans="1:30">
      <c r="A83" s="74">
        <f t="shared" si="0"/>
        <v>1</v>
      </c>
      <c r="B83" s="75">
        <v>50</v>
      </c>
      <c r="C83" s="127">
        <v>0.98</v>
      </c>
      <c r="D83" s="84">
        <v>0.15754329882682339</v>
      </c>
      <c r="E83" s="124">
        <f t="shared" si="1"/>
        <v>0.96039999999999992</v>
      </c>
      <c r="F83" s="125">
        <f t="shared" si="2"/>
        <v>0.94119199999999992</v>
      </c>
      <c r="G83" s="125">
        <f t="shared" si="3"/>
        <v>0.92236815999999988</v>
      </c>
      <c r="H83" s="125">
        <f t="shared" si="4"/>
        <v>0.90392079679999982</v>
      </c>
      <c r="I83" s="125">
        <f t="shared" si="5"/>
        <v>0.8858423808639998</v>
      </c>
      <c r="J83" s="125">
        <f t="shared" si="6"/>
        <v>0.86812553324671982</v>
      </c>
      <c r="K83" s="125">
        <f t="shared" si="7"/>
        <v>0.85076302258178538</v>
      </c>
      <c r="L83" s="126">
        <f t="shared" si="8"/>
        <v>0.83374776213014967</v>
      </c>
      <c r="M83" s="125">
        <f t="shared" si="9"/>
        <v>0.81707280688754658</v>
      </c>
      <c r="N83" s="125">
        <f t="shared" si="10"/>
        <v>0.80073135074979562</v>
      </c>
      <c r="O83" s="126">
        <f t="shared" si="11"/>
        <v>0.78471672373479973</v>
      </c>
      <c r="P83" s="30"/>
      <c r="Q83" s="27"/>
      <c r="R83" s="80">
        <f t="shared" si="12"/>
        <v>0.15754329882682339</v>
      </c>
      <c r="S83" s="80">
        <f t="shared" si="13"/>
        <v>0.15439243285028692</v>
      </c>
      <c r="T83" s="80">
        <f t="shared" si="14"/>
        <v>0.15130458419328116</v>
      </c>
      <c r="U83" s="80">
        <f t="shared" si="15"/>
        <v>0.14827849250941555</v>
      </c>
      <c r="V83" s="80">
        <f t="shared" si="16"/>
        <v>0.14531292265922724</v>
      </c>
      <c r="W83" s="80">
        <f t="shared" si="17"/>
        <v>0.14240666420604267</v>
      </c>
      <c r="X83" s="81">
        <f t="shared" si="18"/>
        <v>0.1395585309219218</v>
      </c>
      <c r="Y83" s="82"/>
      <c r="Z83" s="83">
        <f t="shared" si="19"/>
        <v>3.9371691046930588E-3</v>
      </c>
      <c r="AA83" s="80">
        <f t="shared" si="20"/>
        <v>0.15754277738227501</v>
      </c>
      <c r="AB83" s="81">
        <f t="shared" si="21"/>
        <v>2.7190441702861216E-13</v>
      </c>
      <c r="AC83" s="27"/>
      <c r="AD83" s="27"/>
    </row>
    <row r="84" spans="1:30">
      <c r="A84" s="74">
        <f t="shared" si="0"/>
        <v>1</v>
      </c>
      <c r="B84" s="75">
        <v>51</v>
      </c>
      <c r="C84" s="127">
        <v>1</v>
      </c>
      <c r="D84" s="84">
        <v>0.15915494309189535</v>
      </c>
      <c r="E84" s="124">
        <f t="shared" si="1"/>
        <v>1</v>
      </c>
      <c r="F84" s="125">
        <f t="shared" si="2"/>
        <v>1</v>
      </c>
      <c r="G84" s="125">
        <f t="shared" si="3"/>
        <v>1</v>
      </c>
      <c r="H84" s="125">
        <f t="shared" si="4"/>
        <v>1</v>
      </c>
      <c r="I84" s="125">
        <f t="shared" si="5"/>
        <v>1</v>
      </c>
      <c r="J84" s="125">
        <f t="shared" si="6"/>
        <v>1</v>
      </c>
      <c r="K84" s="125">
        <f t="shared" si="7"/>
        <v>1</v>
      </c>
      <c r="L84" s="126">
        <f t="shared" si="8"/>
        <v>1</v>
      </c>
      <c r="M84" s="125">
        <f t="shared" si="9"/>
        <v>1</v>
      </c>
      <c r="N84" s="125">
        <f t="shared" si="10"/>
        <v>1</v>
      </c>
      <c r="O84" s="126">
        <f t="shared" si="11"/>
        <v>1</v>
      </c>
      <c r="P84" s="30"/>
      <c r="Q84" s="27"/>
      <c r="R84" s="80">
        <f t="shared" si="12"/>
        <v>0.15915494309189535</v>
      </c>
      <c r="S84" s="80">
        <f t="shared" si="13"/>
        <v>0.15915494309189535</v>
      </c>
      <c r="T84" s="80">
        <f t="shared" si="14"/>
        <v>0.15915494309189535</v>
      </c>
      <c r="U84" s="80">
        <f t="shared" si="15"/>
        <v>0.15915494309189535</v>
      </c>
      <c r="V84" s="80">
        <f t="shared" si="16"/>
        <v>0.15915494309189535</v>
      </c>
      <c r="W84" s="80">
        <f t="shared" si="17"/>
        <v>0.15915494309189535</v>
      </c>
      <c r="X84" s="81">
        <f t="shared" si="18"/>
        <v>0.15915494309189535</v>
      </c>
      <c r="Y84" s="82"/>
      <c r="Z84" s="83">
        <f t="shared" si="19"/>
        <v>4.1420177531468977E-3</v>
      </c>
      <c r="AA84" s="80">
        <f t="shared" si="20"/>
        <v>0.15916267980242083</v>
      </c>
      <c r="AB84" s="81">
        <f t="shared" si="21"/>
        <v>5.9856689755072599E-11</v>
      </c>
      <c r="AC84" s="27"/>
      <c r="AD84" s="27"/>
    </row>
    <row r="85" spans="1:30">
      <c r="A85" s="74"/>
      <c r="B85" s="75" t="s">
        <v>60</v>
      </c>
      <c r="C85" s="76"/>
      <c r="D85" s="84" t="s">
        <v>60</v>
      </c>
      <c r="E85" s="77" t="str">
        <f t="shared" si="1"/>
        <v/>
      </c>
      <c r="F85" s="78" t="str">
        <f t="shared" si="2"/>
        <v/>
      </c>
      <c r="G85" s="78" t="str">
        <f t="shared" si="3"/>
        <v/>
      </c>
      <c r="H85" s="78" t="str">
        <f t="shared" si="4"/>
        <v/>
      </c>
      <c r="I85" s="78" t="str">
        <f t="shared" si="5"/>
        <v/>
      </c>
      <c r="J85" s="78" t="str">
        <f t="shared" si="6"/>
        <v/>
      </c>
      <c r="K85" s="78" t="str">
        <f t="shared" si="7"/>
        <v/>
      </c>
      <c r="L85" s="79" t="str">
        <f t="shared" si="8"/>
        <v/>
      </c>
      <c r="M85" s="78" t="str">
        <f t="shared" si="9"/>
        <v/>
      </c>
      <c r="N85" s="78" t="str">
        <f t="shared" si="10"/>
        <v/>
      </c>
      <c r="O85" s="79" t="str">
        <f t="shared" si="11"/>
        <v/>
      </c>
      <c r="P85" s="30"/>
      <c r="Q85" s="27"/>
      <c r="R85" s="80" t="str">
        <f t="shared" si="12"/>
        <v/>
      </c>
      <c r="S85" s="80" t="str">
        <f t="shared" si="13"/>
        <v/>
      </c>
      <c r="T85" s="80" t="str">
        <f t="shared" si="14"/>
        <v/>
      </c>
      <c r="U85" s="80" t="str">
        <f t="shared" si="15"/>
        <v/>
      </c>
      <c r="V85" s="80" t="str">
        <f t="shared" si="16"/>
        <v/>
      </c>
      <c r="W85" s="80" t="str">
        <f t="shared" si="17"/>
        <v/>
      </c>
      <c r="X85" s="81" t="str">
        <f t="shared" si="18"/>
        <v/>
      </c>
      <c r="Y85" s="82"/>
      <c r="Z85" s="83" t="str">
        <f t="shared" si="19"/>
        <v/>
      </c>
      <c r="AA85" s="80" t="str">
        <f t="shared" si="20"/>
        <v/>
      </c>
      <c r="AB85" s="81" t="str">
        <f t="shared" si="21"/>
        <v/>
      </c>
      <c r="AC85" s="27"/>
      <c r="AD85" s="27"/>
    </row>
    <row r="86" spans="1:30">
      <c r="A86" s="74"/>
      <c r="B86" s="75" t="s">
        <v>60</v>
      </c>
      <c r="C86" s="76"/>
      <c r="D86" s="84" t="s">
        <v>60</v>
      </c>
      <c r="E86" s="77" t="str">
        <f t="shared" si="1"/>
        <v/>
      </c>
      <c r="F86" s="78" t="str">
        <f t="shared" si="2"/>
        <v/>
      </c>
      <c r="G86" s="78" t="str">
        <f t="shared" si="3"/>
        <v/>
      </c>
      <c r="H86" s="78" t="str">
        <f t="shared" si="4"/>
        <v/>
      </c>
      <c r="I86" s="78" t="str">
        <f t="shared" si="5"/>
        <v/>
      </c>
      <c r="J86" s="78" t="str">
        <f t="shared" si="6"/>
        <v/>
      </c>
      <c r="K86" s="78" t="str">
        <f t="shared" si="7"/>
        <v/>
      </c>
      <c r="L86" s="79" t="str">
        <f t="shared" si="8"/>
        <v/>
      </c>
      <c r="M86" s="78" t="str">
        <f t="shared" si="9"/>
        <v/>
      </c>
      <c r="N86" s="78" t="str">
        <f t="shared" si="10"/>
        <v/>
      </c>
      <c r="O86" s="79" t="str">
        <f t="shared" si="11"/>
        <v/>
      </c>
      <c r="P86" s="30"/>
      <c r="Q86" s="27"/>
      <c r="R86" s="80" t="str">
        <f t="shared" si="12"/>
        <v/>
      </c>
      <c r="S86" s="80" t="str">
        <f t="shared" si="13"/>
        <v/>
      </c>
      <c r="T86" s="80" t="str">
        <f t="shared" si="14"/>
        <v/>
      </c>
      <c r="U86" s="80" t="str">
        <f t="shared" si="15"/>
        <v/>
      </c>
      <c r="V86" s="80" t="str">
        <f t="shared" si="16"/>
        <v/>
      </c>
      <c r="W86" s="80" t="str">
        <f t="shared" si="17"/>
        <v/>
      </c>
      <c r="X86" s="81" t="str">
        <f t="shared" si="18"/>
        <v/>
      </c>
      <c r="Y86" s="82"/>
      <c r="Z86" s="83" t="str">
        <f t="shared" si="19"/>
        <v/>
      </c>
      <c r="AA86" s="80" t="str">
        <f t="shared" si="20"/>
        <v/>
      </c>
      <c r="AB86" s="81" t="str">
        <f t="shared" si="21"/>
        <v/>
      </c>
      <c r="AC86" s="27"/>
      <c r="AD86" s="27"/>
    </row>
    <row r="87" spans="1:30">
      <c r="A87" s="74"/>
      <c r="B87" s="75" t="s">
        <v>60</v>
      </c>
      <c r="C87" s="76"/>
      <c r="D87" s="84" t="s">
        <v>60</v>
      </c>
      <c r="E87" s="77" t="str">
        <f t="shared" si="1"/>
        <v/>
      </c>
      <c r="F87" s="78" t="str">
        <f t="shared" si="2"/>
        <v/>
      </c>
      <c r="G87" s="78" t="str">
        <f t="shared" si="3"/>
        <v/>
      </c>
      <c r="H87" s="78" t="str">
        <f t="shared" si="4"/>
        <v/>
      </c>
      <c r="I87" s="78" t="str">
        <f t="shared" si="5"/>
        <v/>
      </c>
      <c r="J87" s="78" t="str">
        <f t="shared" si="6"/>
        <v/>
      </c>
      <c r="K87" s="78" t="str">
        <f t="shared" si="7"/>
        <v/>
      </c>
      <c r="L87" s="79" t="str">
        <f t="shared" si="8"/>
        <v/>
      </c>
      <c r="M87" s="78" t="str">
        <f t="shared" si="9"/>
        <v/>
      </c>
      <c r="N87" s="78" t="str">
        <f t="shared" si="10"/>
        <v/>
      </c>
      <c r="O87" s="79" t="str">
        <f t="shared" si="11"/>
        <v/>
      </c>
      <c r="P87" s="30"/>
      <c r="Q87" s="27"/>
      <c r="R87" s="80" t="str">
        <f t="shared" si="12"/>
        <v/>
      </c>
      <c r="S87" s="80" t="str">
        <f t="shared" si="13"/>
        <v/>
      </c>
      <c r="T87" s="80" t="str">
        <f t="shared" si="14"/>
        <v/>
      </c>
      <c r="U87" s="80" t="str">
        <f t="shared" si="15"/>
        <v/>
      </c>
      <c r="V87" s="80" t="str">
        <f t="shared" si="16"/>
        <v/>
      </c>
      <c r="W87" s="80" t="str">
        <f t="shared" si="17"/>
        <v/>
      </c>
      <c r="X87" s="81" t="str">
        <f t="shared" si="18"/>
        <v/>
      </c>
      <c r="Y87" s="82"/>
      <c r="Z87" s="83" t="str">
        <f t="shared" si="19"/>
        <v/>
      </c>
      <c r="AA87" s="80" t="str">
        <f t="shared" si="20"/>
        <v/>
      </c>
      <c r="AB87" s="81" t="str">
        <f t="shared" si="21"/>
        <v/>
      </c>
      <c r="AC87" s="27"/>
      <c r="AD87" s="27"/>
    </row>
    <row r="88" spans="1:30" ht="18.75" customHeight="1">
      <c r="A88" s="74"/>
      <c r="B88" s="75" t="s">
        <v>60</v>
      </c>
      <c r="C88" s="76"/>
      <c r="D88" s="84" t="s">
        <v>60</v>
      </c>
      <c r="E88" s="77" t="str">
        <f t="shared" si="1"/>
        <v/>
      </c>
      <c r="F88" s="78" t="str">
        <f t="shared" si="2"/>
        <v/>
      </c>
      <c r="G88" s="78" t="str">
        <f t="shared" si="3"/>
        <v/>
      </c>
      <c r="H88" s="78" t="str">
        <f t="shared" si="4"/>
        <v/>
      </c>
      <c r="I88" s="78" t="str">
        <f t="shared" si="5"/>
        <v/>
      </c>
      <c r="J88" s="78" t="str">
        <f t="shared" si="6"/>
        <v/>
      </c>
      <c r="K88" s="78" t="str">
        <f t="shared" si="7"/>
        <v/>
      </c>
      <c r="L88" s="79" t="str">
        <f t="shared" si="8"/>
        <v/>
      </c>
      <c r="M88" s="78" t="str">
        <f t="shared" si="9"/>
        <v/>
      </c>
      <c r="N88" s="78" t="str">
        <f t="shared" si="10"/>
        <v/>
      </c>
      <c r="O88" s="79" t="str">
        <f t="shared" si="11"/>
        <v/>
      </c>
      <c r="P88" s="30"/>
      <c r="Q88" s="27"/>
      <c r="R88" s="80" t="str">
        <f t="shared" si="12"/>
        <v/>
      </c>
      <c r="S88" s="80" t="str">
        <f t="shared" si="13"/>
        <v/>
      </c>
      <c r="T88" s="80" t="str">
        <f t="shared" si="14"/>
        <v/>
      </c>
      <c r="U88" s="80" t="str">
        <f t="shared" si="15"/>
        <v/>
      </c>
      <c r="V88" s="80" t="str">
        <f t="shared" si="16"/>
        <v/>
      </c>
      <c r="W88" s="80" t="str">
        <f t="shared" si="17"/>
        <v/>
      </c>
      <c r="X88" s="81" t="str">
        <f t="shared" si="18"/>
        <v/>
      </c>
      <c r="Y88" s="82"/>
      <c r="Z88" s="83" t="str">
        <f t="shared" si="19"/>
        <v/>
      </c>
      <c r="AA88" s="80" t="str">
        <f t="shared" si="20"/>
        <v/>
      </c>
      <c r="AB88" s="81" t="str">
        <f t="shared" si="21"/>
        <v/>
      </c>
      <c r="AC88" s="27"/>
      <c r="AD88" s="27"/>
    </row>
    <row r="89" spans="1:30">
      <c r="A89" s="74"/>
      <c r="B89" s="75" t="s">
        <v>60</v>
      </c>
      <c r="C89" s="76"/>
      <c r="D89" s="84" t="s">
        <v>60</v>
      </c>
      <c r="E89" s="77" t="str">
        <f t="shared" si="1"/>
        <v/>
      </c>
      <c r="F89" s="78" t="str">
        <f t="shared" si="2"/>
        <v/>
      </c>
      <c r="G89" s="78" t="str">
        <f t="shared" si="3"/>
        <v/>
      </c>
      <c r="H89" s="78" t="str">
        <f t="shared" si="4"/>
        <v/>
      </c>
      <c r="I89" s="78" t="str">
        <f t="shared" si="5"/>
        <v/>
      </c>
      <c r="J89" s="78" t="str">
        <f t="shared" si="6"/>
        <v/>
      </c>
      <c r="K89" s="78" t="str">
        <f t="shared" si="7"/>
        <v/>
      </c>
      <c r="L89" s="79" t="str">
        <f t="shared" si="8"/>
        <v/>
      </c>
      <c r="M89" s="78" t="str">
        <f t="shared" si="9"/>
        <v/>
      </c>
      <c r="N89" s="78" t="str">
        <f t="shared" si="10"/>
        <v/>
      </c>
      <c r="O89" s="79" t="str">
        <f t="shared" si="11"/>
        <v/>
      </c>
      <c r="P89" s="30"/>
      <c r="Q89" s="27"/>
      <c r="R89" s="80" t="str">
        <f t="shared" si="12"/>
        <v/>
      </c>
      <c r="S89" s="80" t="str">
        <f t="shared" si="13"/>
        <v/>
      </c>
      <c r="T89" s="80" t="str">
        <f t="shared" si="14"/>
        <v/>
      </c>
      <c r="U89" s="80" t="str">
        <f t="shared" si="15"/>
        <v/>
      </c>
      <c r="V89" s="80" t="str">
        <f t="shared" si="16"/>
        <v/>
      </c>
      <c r="W89" s="80" t="str">
        <f t="shared" si="17"/>
        <v/>
      </c>
      <c r="X89" s="81" t="str">
        <f t="shared" si="18"/>
        <v/>
      </c>
      <c r="Y89" s="82"/>
      <c r="Z89" s="83" t="str">
        <f t="shared" si="19"/>
        <v/>
      </c>
      <c r="AA89" s="80" t="str">
        <f t="shared" si="20"/>
        <v/>
      </c>
      <c r="AB89" s="81" t="str">
        <f t="shared" si="21"/>
        <v/>
      </c>
      <c r="AC89" s="27"/>
      <c r="AD89" s="27"/>
    </row>
    <row r="90" spans="1:30">
      <c r="A90" s="74"/>
      <c r="B90" s="75" t="s">
        <v>60</v>
      </c>
      <c r="C90" s="76"/>
      <c r="D90" s="84" t="s">
        <v>60</v>
      </c>
      <c r="E90" s="77" t="str">
        <f t="shared" si="1"/>
        <v/>
      </c>
      <c r="F90" s="78" t="str">
        <f t="shared" si="2"/>
        <v/>
      </c>
      <c r="G90" s="78" t="str">
        <f t="shared" si="3"/>
        <v/>
      </c>
      <c r="H90" s="78" t="str">
        <f t="shared" si="4"/>
        <v/>
      </c>
      <c r="I90" s="78" t="str">
        <f t="shared" si="5"/>
        <v/>
      </c>
      <c r="J90" s="78" t="str">
        <f t="shared" si="6"/>
        <v/>
      </c>
      <c r="K90" s="78" t="str">
        <f t="shared" si="7"/>
        <v/>
      </c>
      <c r="L90" s="79" t="str">
        <f t="shared" si="8"/>
        <v/>
      </c>
      <c r="M90" s="78" t="str">
        <f t="shared" si="9"/>
        <v/>
      </c>
      <c r="N90" s="78" t="str">
        <f t="shared" si="10"/>
        <v/>
      </c>
      <c r="O90" s="79" t="str">
        <f t="shared" si="11"/>
        <v/>
      </c>
      <c r="P90" s="30"/>
      <c r="Q90" s="27"/>
      <c r="R90" s="80" t="str">
        <f t="shared" si="12"/>
        <v/>
      </c>
      <c r="S90" s="80" t="str">
        <f t="shared" si="13"/>
        <v/>
      </c>
      <c r="T90" s="80" t="str">
        <f t="shared" si="14"/>
        <v/>
      </c>
      <c r="U90" s="80" t="str">
        <f t="shared" si="15"/>
        <v/>
      </c>
      <c r="V90" s="80" t="str">
        <f t="shared" si="16"/>
        <v/>
      </c>
      <c r="W90" s="80" t="str">
        <f t="shared" si="17"/>
        <v/>
      </c>
      <c r="X90" s="81" t="str">
        <f t="shared" si="18"/>
        <v/>
      </c>
      <c r="Y90" s="82"/>
      <c r="Z90" s="83" t="str">
        <f t="shared" si="19"/>
        <v/>
      </c>
      <c r="AA90" s="80" t="str">
        <f t="shared" si="20"/>
        <v/>
      </c>
      <c r="AB90" s="81" t="str">
        <f t="shared" si="21"/>
        <v/>
      </c>
      <c r="AC90" s="27"/>
      <c r="AD90" s="27"/>
    </row>
    <row r="91" spans="1:30">
      <c r="A91" s="74"/>
      <c r="B91" s="75" t="s">
        <v>60</v>
      </c>
      <c r="C91" s="76"/>
      <c r="D91" s="84" t="s">
        <v>60</v>
      </c>
      <c r="E91" s="77" t="str">
        <f t="shared" si="1"/>
        <v/>
      </c>
      <c r="F91" s="78" t="str">
        <f t="shared" si="2"/>
        <v/>
      </c>
      <c r="G91" s="78" t="str">
        <f t="shared" si="3"/>
        <v/>
      </c>
      <c r="H91" s="78" t="str">
        <f t="shared" si="4"/>
        <v/>
      </c>
      <c r="I91" s="78" t="str">
        <f t="shared" si="5"/>
        <v/>
      </c>
      <c r="J91" s="78" t="str">
        <f t="shared" si="6"/>
        <v/>
      </c>
      <c r="K91" s="78" t="str">
        <f t="shared" si="7"/>
        <v/>
      </c>
      <c r="L91" s="79" t="str">
        <f t="shared" si="8"/>
        <v/>
      </c>
      <c r="M91" s="78" t="str">
        <f t="shared" si="9"/>
        <v/>
      </c>
      <c r="N91" s="78" t="str">
        <f t="shared" si="10"/>
        <v/>
      </c>
      <c r="O91" s="79" t="str">
        <f t="shared" si="11"/>
        <v/>
      </c>
      <c r="P91" s="30"/>
      <c r="Q91" s="27"/>
      <c r="R91" s="80" t="str">
        <f>IF(C91="","",D91)</f>
        <v/>
      </c>
      <c r="S91" s="80" t="str">
        <f>IF(C91="","",C91*D91)</f>
        <v/>
      </c>
      <c r="T91" s="80" t="str">
        <f>IF(C91="","",C91^2*D91)</f>
        <v/>
      </c>
      <c r="U91" s="80" t="str">
        <f>IF(C91="","",C91^3*D91)</f>
        <v/>
      </c>
      <c r="V91" s="80" t="str">
        <f>IF(C91="","",C91^4*D91)</f>
        <v/>
      </c>
      <c r="W91" s="80" t="str">
        <f>IF(C91="","",C91^5*D91)</f>
        <v/>
      </c>
      <c r="X91" s="81" t="str">
        <f>IF(C91="","",C91^6*D91)</f>
        <v/>
      </c>
      <c r="Y91" s="82"/>
      <c r="Z91" s="83" t="str">
        <f t="shared" si="19"/>
        <v/>
      </c>
      <c r="AA91" s="80" t="str">
        <f>IF(C91="","",$N$143+$N$144*C91+$N$145*C91^2+$N$146*C91^3+$N$147*C91^4+$N$148*C91^5+$N$149*C91^6)</f>
        <v/>
      </c>
      <c r="AB91" s="81" t="str">
        <f>IF(C91="","",(AA91-D91)^2)</f>
        <v/>
      </c>
      <c r="AC91" s="27"/>
      <c r="AD91" s="27"/>
    </row>
    <row r="92" spans="1:30">
      <c r="A92" s="74"/>
      <c r="B92" s="75" t="s">
        <v>60</v>
      </c>
      <c r="C92" s="76"/>
      <c r="D92" s="84" t="s">
        <v>60</v>
      </c>
      <c r="E92" s="77" t="str">
        <f t="shared" si="1"/>
        <v/>
      </c>
      <c r="F92" s="78" t="str">
        <f t="shared" si="2"/>
        <v/>
      </c>
      <c r="G92" s="78" t="str">
        <f t="shared" si="3"/>
        <v/>
      </c>
      <c r="H92" s="78" t="str">
        <f t="shared" si="4"/>
        <v/>
      </c>
      <c r="I92" s="78" t="str">
        <f t="shared" si="5"/>
        <v/>
      </c>
      <c r="J92" s="78" t="str">
        <f t="shared" si="6"/>
        <v/>
      </c>
      <c r="K92" s="78" t="str">
        <f t="shared" si="7"/>
        <v/>
      </c>
      <c r="L92" s="79" t="str">
        <f t="shared" si="8"/>
        <v/>
      </c>
      <c r="M92" s="78" t="str">
        <f t="shared" si="9"/>
        <v/>
      </c>
      <c r="N92" s="78" t="str">
        <f t="shared" si="10"/>
        <v/>
      </c>
      <c r="O92" s="79" t="str">
        <f t="shared" si="11"/>
        <v/>
      </c>
      <c r="P92" s="30"/>
      <c r="Q92" s="27"/>
      <c r="R92" s="80" t="str">
        <f>IF(C92="","",D92)</f>
        <v/>
      </c>
      <c r="S92" s="80" t="str">
        <f>IF(C92="","",C92*D92)</f>
        <v/>
      </c>
      <c r="T92" s="80" t="str">
        <f>IF(C92="","",C92^2*D92)</f>
        <v/>
      </c>
      <c r="U92" s="80" t="str">
        <f>IF(C92="","",C92^3*D92)</f>
        <v/>
      </c>
      <c r="V92" s="80" t="str">
        <f>IF(C92="","",C92^4*D92)</f>
        <v/>
      </c>
      <c r="W92" s="80" t="str">
        <f>IF(C92="","",C92^5*D92)</f>
        <v/>
      </c>
      <c r="X92" s="81" t="str">
        <f>IF(C92="","",C92^6*D92)</f>
        <v/>
      </c>
      <c r="Y92" s="82"/>
      <c r="Z92" s="83" t="str">
        <f t="shared" si="19"/>
        <v/>
      </c>
      <c r="AA92" s="80" t="str">
        <f>IF(C92="","",$N$143+$N$144*C92+$N$145*C92^2+$N$146*C92^3+$N$147*C92^4+$N$148*C92^5+$N$149*C92^6)</f>
        <v/>
      </c>
      <c r="AB92" s="81" t="str">
        <f>IF(C92="","",(AA92-D92)^2)</f>
        <v/>
      </c>
      <c r="AC92" s="27"/>
      <c r="AD92" s="27"/>
    </row>
    <row r="93" spans="1:30">
      <c r="A93" s="74"/>
      <c r="B93" s="75" t="s">
        <v>60</v>
      </c>
      <c r="C93" s="76"/>
      <c r="D93" s="84" t="s">
        <v>60</v>
      </c>
      <c r="E93" s="77" t="str">
        <f t="shared" si="1"/>
        <v/>
      </c>
      <c r="F93" s="78" t="str">
        <f t="shared" si="2"/>
        <v/>
      </c>
      <c r="G93" s="78" t="str">
        <f t="shared" si="3"/>
        <v/>
      </c>
      <c r="H93" s="78" t="str">
        <f t="shared" si="4"/>
        <v/>
      </c>
      <c r="I93" s="78" t="str">
        <f t="shared" si="5"/>
        <v/>
      </c>
      <c r="J93" s="78" t="str">
        <f t="shared" si="6"/>
        <v/>
      </c>
      <c r="K93" s="78" t="str">
        <f t="shared" si="7"/>
        <v/>
      </c>
      <c r="L93" s="79" t="str">
        <f t="shared" si="8"/>
        <v/>
      </c>
      <c r="M93" s="78" t="str">
        <f t="shared" si="9"/>
        <v/>
      </c>
      <c r="N93" s="78" t="str">
        <f t="shared" si="10"/>
        <v/>
      </c>
      <c r="O93" s="79" t="str">
        <f t="shared" si="11"/>
        <v/>
      </c>
      <c r="P93" s="30"/>
      <c r="Q93" s="27"/>
      <c r="R93" s="80" t="str">
        <f>IF(C93="","",D93)</f>
        <v/>
      </c>
      <c r="S93" s="80" t="str">
        <f>IF(C93="","",C93*D93)</f>
        <v/>
      </c>
      <c r="T93" s="80" t="str">
        <f>IF(C93="","",C93^2*D93)</f>
        <v/>
      </c>
      <c r="U93" s="80" t="str">
        <f>IF(C93="","",C93^3*D93)</f>
        <v/>
      </c>
      <c r="V93" s="80" t="str">
        <f>IF(C93="","",C93^4*D93)</f>
        <v/>
      </c>
      <c r="W93" s="80" t="str">
        <f>IF(C93="","",C93^5*D93)</f>
        <v/>
      </c>
      <c r="X93" s="81" t="str">
        <f>IF(C93="","",C93^6*D93)</f>
        <v/>
      </c>
      <c r="Y93" s="82"/>
      <c r="Z93" s="83" t="str">
        <f t="shared" si="19"/>
        <v/>
      </c>
      <c r="AA93" s="80" t="str">
        <f>IF(C93="","",$N$143+$N$144*C93+$N$145*C93^2+$N$146*C93^3+$N$147*C93^4+$N$148*C93^5+$N$149*C93^6)</f>
        <v/>
      </c>
      <c r="AB93" s="81" t="str">
        <f>IF(C93="","",(AA93-D93)^2)</f>
        <v/>
      </c>
      <c r="AC93" s="27"/>
      <c r="AD93" s="27"/>
    </row>
    <row r="94" spans="1:30" ht="13" thickBot="1">
      <c r="A94" s="74"/>
      <c r="B94" s="85"/>
      <c r="C94" s="66"/>
      <c r="D94" s="67"/>
      <c r="E94" s="68"/>
      <c r="F94" s="86"/>
      <c r="G94" s="86"/>
      <c r="H94" s="86"/>
      <c r="I94" s="86"/>
      <c r="J94" s="69"/>
      <c r="K94" s="69"/>
      <c r="L94" s="72"/>
      <c r="M94" s="69"/>
      <c r="N94" s="69"/>
      <c r="O94" s="72"/>
      <c r="P94" s="30"/>
      <c r="Q94" s="27"/>
      <c r="R94" s="69"/>
      <c r="S94" s="69"/>
      <c r="T94" s="69"/>
      <c r="U94" s="69"/>
      <c r="V94" s="69"/>
      <c r="W94" s="69"/>
      <c r="X94" s="72"/>
      <c r="Y94" s="27"/>
      <c r="Z94" s="87"/>
      <c r="AA94" s="87"/>
      <c r="AB94" s="88"/>
      <c r="AC94" s="27"/>
      <c r="AD94" s="27"/>
    </row>
    <row r="95" spans="1:30" ht="13" thickBot="1">
      <c r="A95" s="28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30"/>
      <c r="Q95" s="29"/>
      <c r="R95" s="29"/>
      <c r="S95" s="29"/>
      <c r="T95" s="29"/>
      <c r="U95" s="29"/>
      <c r="V95" s="29"/>
      <c r="W95" s="29"/>
      <c r="X95" s="29"/>
      <c r="Y95" s="27"/>
      <c r="Z95" s="27"/>
      <c r="AA95" s="27"/>
      <c r="AB95" s="27"/>
      <c r="AC95" s="27"/>
      <c r="AD95" s="27"/>
    </row>
    <row r="96" spans="1:30" ht="13" thickBot="1">
      <c r="A96" s="74">
        <f>SUM(A34:A93)</f>
        <v>51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30"/>
      <c r="Q96" s="29"/>
      <c r="R96" s="29"/>
      <c r="S96" s="29"/>
      <c r="T96" s="29"/>
      <c r="U96" s="29"/>
      <c r="V96" s="29"/>
      <c r="W96" s="29"/>
      <c r="X96" s="29"/>
      <c r="Y96" s="27"/>
      <c r="Z96" s="31" t="s">
        <v>23</v>
      </c>
      <c r="AA96" s="27"/>
      <c r="AB96" s="31" t="s">
        <v>25</v>
      </c>
      <c r="AC96" s="27"/>
      <c r="AD96" s="27"/>
    </row>
    <row r="97" spans="1:30" ht="13" thickBot="1">
      <c r="A97" s="89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1"/>
      <c r="Q97" s="27"/>
      <c r="R97" s="27"/>
      <c r="S97" s="27"/>
      <c r="T97" s="27"/>
      <c r="U97" s="27"/>
      <c r="V97" s="27"/>
      <c r="W97" s="27"/>
      <c r="X97" s="27"/>
      <c r="Y97" s="92" t="s">
        <v>54</v>
      </c>
      <c r="Z97" s="93">
        <f>SUM(Z34:Z93)</f>
        <v>0.11204945332592821</v>
      </c>
      <c r="AA97" s="92" t="s">
        <v>54</v>
      </c>
      <c r="AB97" s="93">
        <f>SUM(AB34:AB93)</f>
        <v>9.6932964647533036E-10</v>
      </c>
      <c r="AC97" s="27"/>
      <c r="AD97" s="27"/>
    </row>
    <row r="98" spans="1:30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</row>
    <row r="99" spans="1:30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</row>
    <row r="100" spans="1:30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</row>
    <row r="101" spans="1:30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</row>
    <row r="102" spans="1:30" ht="13" thickBo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</row>
    <row r="103" spans="1:30">
      <c r="A103" s="27"/>
      <c r="B103" s="27"/>
      <c r="C103" s="27"/>
      <c r="D103" s="47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</row>
    <row r="104" spans="1:30">
      <c r="A104" s="27"/>
      <c r="B104" s="27"/>
      <c r="C104" s="27"/>
      <c r="D104" s="94" t="s">
        <v>64</v>
      </c>
      <c r="E104" s="95" t="s">
        <v>65</v>
      </c>
      <c r="F104" s="95" t="s">
        <v>66</v>
      </c>
      <c r="G104" s="95" t="s">
        <v>67</v>
      </c>
      <c r="H104" s="95" t="s">
        <v>68</v>
      </c>
      <c r="I104" s="95" t="s">
        <v>69</v>
      </c>
      <c r="J104" s="95" t="s">
        <v>70</v>
      </c>
      <c r="K104" s="95" t="s">
        <v>71</v>
      </c>
      <c r="L104" s="95" t="s">
        <v>72</v>
      </c>
      <c r="M104" s="95" t="s">
        <v>73</v>
      </c>
      <c r="N104" s="95" t="s">
        <v>74</v>
      </c>
      <c r="O104" s="95" t="s">
        <v>75</v>
      </c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</row>
    <row r="105" spans="1:30" ht="13" thickBot="1">
      <c r="A105" s="27"/>
      <c r="B105" s="27"/>
      <c r="C105" s="27"/>
      <c r="D105" s="59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</row>
    <row r="106" spans="1:30">
      <c r="A106" s="27"/>
      <c r="B106" s="27"/>
      <c r="C106" s="27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</row>
    <row r="107" spans="1:30">
      <c r="A107" s="27"/>
      <c r="B107" s="27"/>
      <c r="C107" s="27"/>
      <c r="D107" s="96">
        <f>SUM(C34:C93)</f>
        <v>25.500999999999998</v>
      </c>
      <c r="E107" s="96">
        <f t="shared" ref="E107:O107" si="22">SUM(E34:E93)</f>
        <v>17.170000999999999</v>
      </c>
      <c r="F107" s="96">
        <f t="shared" si="22"/>
        <v>13.005000001000001</v>
      </c>
      <c r="G107" s="96">
        <f t="shared" si="22"/>
        <v>10.506666400001</v>
      </c>
      <c r="H107" s="96">
        <f t="shared" si="22"/>
        <v>8.841666</v>
      </c>
      <c r="I107" s="96">
        <f t="shared" si="22"/>
        <v>7.6528558096000001</v>
      </c>
      <c r="J107" s="96">
        <f t="shared" si="22"/>
        <v>6.7616643335999997</v>
      </c>
      <c r="K107" s="96">
        <f t="shared" si="22"/>
        <v>6.0688851562666235</v>
      </c>
      <c r="L107" s="96">
        <f t="shared" si="22"/>
        <v>5.5149944015998074</v>
      </c>
      <c r="M107" s="96">
        <f t="shared" si="22"/>
        <v>5.0621132153205712</v>
      </c>
      <c r="N107" s="96">
        <f t="shared" si="22"/>
        <v>4.6849890058649066</v>
      </c>
      <c r="O107" s="96">
        <f t="shared" si="22"/>
        <v>4.3661391895400987</v>
      </c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</row>
    <row r="108" spans="1:30">
      <c r="A108" s="27"/>
      <c r="B108" s="27"/>
      <c r="C108" s="2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</row>
    <row r="109" spans="1:30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</row>
    <row r="110" spans="1:30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</row>
    <row r="111" spans="1:30" ht="13" thickBo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</row>
    <row r="112" spans="1:30">
      <c r="A112" s="27"/>
      <c r="B112" s="27"/>
      <c r="C112" s="27"/>
      <c r="D112" s="47"/>
      <c r="E112" s="52"/>
      <c r="F112" s="52"/>
      <c r="G112" s="52"/>
      <c r="H112" s="52"/>
      <c r="I112" s="52"/>
      <c r="J112" s="52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</row>
    <row r="113" spans="1:35">
      <c r="A113" s="27"/>
      <c r="B113" s="27"/>
      <c r="C113" s="27"/>
      <c r="D113" s="94" t="s">
        <v>76</v>
      </c>
      <c r="E113" s="95" t="s">
        <v>77</v>
      </c>
      <c r="F113" s="95" t="s">
        <v>78</v>
      </c>
      <c r="G113" s="95" t="s">
        <v>79</v>
      </c>
      <c r="H113" s="95" t="s">
        <v>80</v>
      </c>
      <c r="I113" s="95" t="s">
        <v>81</v>
      </c>
      <c r="J113" s="95" t="s">
        <v>82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</row>
    <row r="114" spans="1:35" ht="13" thickBot="1">
      <c r="A114" s="27"/>
      <c r="B114" s="27"/>
      <c r="C114" s="27"/>
      <c r="D114" s="59"/>
      <c r="E114" s="64"/>
      <c r="F114" s="64"/>
      <c r="G114" s="64"/>
      <c r="H114" s="64"/>
      <c r="I114" s="64"/>
      <c r="J114" s="64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</row>
    <row r="115" spans="1:35">
      <c r="A115" s="27"/>
      <c r="B115" s="27"/>
      <c r="C115" s="27"/>
      <c r="D115" s="73"/>
      <c r="E115" s="73"/>
      <c r="F115" s="73"/>
      <c r="G115" s="73"/>
      <c r="H115" s="73"/>
      <c r="I115" s="73"/>
      <c r="J115" s="70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</row>
    <row r="116" spans="1:35">
      <c r="A116" s="27"/>
      <c r="B116" s="27"/>
      <c r="C116" s="27"/>
      <c r="D116" s="97">
        <f t="shared" ref="D116:J116" si="23">SUM(R34:R93)</f>
        <v>4.8346181099831185</v>
      </c>
      <c r="E116" s="97">
        <f t="shared" si="23"/>
        <v>3.1122019014054407</v>
      </c>
      <c r="F116" s="97">
        <f t="shared" si="23"/>
        <v>2.2933309908159658</v>
      </c>
      <c r="G116" s="97">
        <f t="shared" si="23"/>
        <v>1.8190004934085497</v>
      </c>
      <c r="H116" s="97">
        <f t="shared" si="23"/>
        <v>1.5108098323681931</v>
      </c>
      <c r="I116" s="97">
        <f t="shared" si="23"/>
        <v>1.2949400410402836</v>
      </c>
      <c r="J116" s="98">
        <f t="shared" si="23"/>
        <v>1.1355123220220193</v>
      </c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</row>
    <row r="117" spans="1:35">
      <c r="A117" s="27"/>
      <c r="B117" s="27"/>
      <c r="C117" s="27"/>
      <c r="D117" s="87"/>
      <c r="E117" s="87"/>
      <c r="F117" s="87"/>
      <c r="G117" s="87"/>
      <c r="H117" s="87"/>
      <c r="I117" s="87"/>
      <c r="J117" s="88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</row>
    <row r="118" spans="1:3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</row>
    <row r="119" spans="1:3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</row>
    <row r="120" spans="1:35" ht="13" thickBo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</row>
    <row r="121" spans="1:35">
      <c r="A121" s="27"/>
      <c r="B121" s="27"/>
      <c r="C121" s="47"/>
      <c r="D121" s="47"/>
      <c r="E121" s="52"/>
      <c r="F121" s="52"/>
      <c r="G121" s="52"/>
      <c r="H121" s="52"/>
      <c r="I121" s="52"/>
      <c r="J121" s="52"/>
      <c r="K121" s="27"/>
      <c r="L121" s="27"/>
      <c r="M121" s="27"/>
      <c r="N121" s="27"/>
      <c r="O121" s="27"/>
      <c r="P121" s="27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</row>
    <row r="122" spans="1:35">
      <c r="A122" s="27"/>
      <c r="B122" s="27"/>
      <c r="C122" s="53" t="s">
        <v>55</v>
      </c>
      <c r="D122" s="53" t="s">
        <v>22</v>
      </c>
      <c r="E122" s="58" t="s">
        <v>24</v>
      </c>
      <c r="F122" s="58" t="s">
        <v>26</v>
      </c>
      <c r="G122" s="58" t="s">
        <v>28</v>
      </c>
      <c r="H122" s="58" t="s">
        <v>29</v>
      </c>
      <c r="I122" s="58" t="s">
        <v>30</v>
      </c>
      <c r="J122" s="58" t="s">
        <v>31</v>
      </c>
      <c r="K122" s="27"/>
      <c r="L122" s="27"/>
      <c r="M122" s="27"/>
      <c r="N122" s="27"/>
      <c r="O122" s="27"/>
      <c r="P122" s="27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</row>
    <row r="123" spans="1:35" ht="13" thickBot="1">
      <c r="A123" s="27"/>
      <c r="B123" s="27"/>
      <c r="C123" s="59"/>
      <c r="D123" s="59"/>
      <c r="E123" s="64"/>
      <c r="F123" s="64"/>
      <c r="G123" s="64"/>
      <c r="H123" s="64"/>
      <c r="I123" s="64"/>
      <c r="J123" s="64"/>
      <c r="K123" s="27"/>
      <c r="L123" s="27"/>
      <c r="M123" s="27"/>
      <c r="N123" s="27"/>
      <c r="O123" s="27"/>
      <c r="P123" s="27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</row>
    <row r="124" spans="1:35">
      <c r="A124" s="27"/>
      <c r="B124" s="27"/>
      <c r="C124" s="100"/>
      <c r="D124" s="101"/>
      <c r="E124" s="73"/>
      <c r="F124" s="73"/>
      <c r="G124" s="73"/>
      <c r="H124" s="73"/>
      <c r="I124" s="73"/>
      <c r="J124" s="70"/>
      <c r="K124" s="27"/>
      <c r="L124" s="13"/>
      <c r="M124" s="29"/>
      <c r="N124" s="27"/>
      <c r="O124" s="27"/>
      <c r="P124" s="27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</row>
    <row r="125" spans="1:35">
      <c r="A125" s="27"/>
      <c r="B125" s="27"/>
      <c r="C125" s="53">
        <v>1</v>
      </c>
      <c r="D125" s="102">
        <f>D8</f>
        <v>51</v>
      </c>
      <c r="E125" s="103">
        <f t="shared" ref="E125:J125" si="24">D107</f>
        <v>25.500999999999998</v>
      </c>
      <c r="F125" s="103">
        <f t="shared" si="24"/>
        <v>17.170000999999999</v>
      </c>
      <c r="G125" s="103">
        <f t="shared" si="24"/>
        <v>13.005000001000001</v>
      </c>
      <c r="H125" s="103">
        <f t="shared" si="24"/>
        <v>10.506666400001</v>
      </c>
      <c r="I125" s="103">
        <f t="shared" si="24"/>
        <v>8.841666</v>
      </c>
      <c r="J125" s="104">
        <f t="shared" si="24"/>
        <v>7.6528558096000001</v>
      </c>
      <c r="K125" s="27"/>
      <c r="L125" s="105">
        <f>D116</f>
        <v>4.8346181099831185</v>
      </c>
      <c r="M125" s="106" t="s">
        <v>76</v>
      </c>
      <c r="N125" s="27"/>
      <c r="O125" s="27"/>
      <c r="P125" s="27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</row>
    <row r="126" spans="1:35">
      <c r="A126" s="27"/>
      <c r="B126" s="27"/>
      <c r="C126" s="53">
        <v>2</v>
      </c>
      <c r="D126" s="107">
        <f t="shared" ref="D126:J126" si="25">D107</f>
        <v>25.500999999999998</v>
      </c>
      <c r="E126" s="103">
        <f t="shared" si="25"/>
        <v>17.170000999999999</v>
      </c>
      <c r="F126" s="103">
        <f t="shared" si="25"/>
        <v>13.005000001000001</v>
      </c>
      <c r="G126" s="103">
        <f t="shared" si="25"/>
        <v>10.506666400001</v>
      </c>
      <c r="H126" s="103">
        <f t="shared" si="25"/>
        <v>8.841666</v>
      </c>
      <c r="I126" s="103">
        <f t="shared" si="25"/>
        <v>7.6528558096000001</v>
      </c>
      <c r="J126" s="104">
        <f t="shared" si="25"/>
        <v>6.7616643335999997</v>
      </c>
      <c r="K126" s="27"/>
      <c r="L126" s="105">
        <f>E116</f>
        <v>3.1122019014054407</v>
      </c>
      <c r="M126" s="106" t="s">
        <v>77</v>
      </c>
      <c r="N126" s="27"/>
      <c r="O126" s="27"/>
      <c r="P126" s="27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</row>
    <row r="127" spans="1:35">
      <c r="A127" s="27"/>
      <c r="B127" s="27"/>
      <c r="C127" s="53">
        <v>3</v>
      </c>
      <c r="D127" s="107">
        <f t="shared" ref="D127:J127" si="26">E107</f>
        <v>17.170000999999999</v>
      </c>
      <c r="E127" s="103">
        <f t="shared" si="26"/>
        <v>13.005000001000001</v>
      </c>
      <c r="F127" s="103">
        <f t="shared" si="26"/>
        <v>10.506666400001</v>
      </c>
      <c r="G127" s="103">
        <f t="shared" si="26"/>
        <v>8.841666</v>
      </c>
      <c r="H127" s="103">
        <f t="shared" si="26"/>
        <v>7.6528558096000001</v>
      </c>
      <c r="I127" s="103">
        <f t="shared" si="26"/>
        <v>6.7616643335999997</v>
      </c>
      <c r="J127" s="104">
        <f t="shared" si="26"/>
        <v>6.0688851562666235</v>
      </c>
      <c r="K127" s="27"/>
      <c r="L127" s="105">
        <f>F116</f>
        <v>2.2933309908159658</v>
      </c>
      <c r="M127" s="106" t="s">
        <v>78</v>
      </c>
      <c r="N127" s="27"/>
      <c r="O127" s="27"/>
      <c r="P127" s="27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</row>
    <row r="128" spans="1:35">
      <c r="A128" s="27"/>
      <c r="B128" s="27"/>
      <c r="C128" s="53">
        <v>4</v>
      </c>
      <c r="D128" s="107">
        <f t="shared" ref="D128:J128" si="27">F107</f>
        <v>13.005000001000001</v>
      </c>
      <c r="E128" s="103">
        <f t="shared" si="27"/>
        <v>10.506666400001</v>
      </c>
      <c r="F128" s="103">
        <f t="shared" si="27"/>
        <v>8.841666</v>
      </c>
      <c r="G128" s="103">
        <f t="shared" si="27"/>
        <v>7.6528558096000001</v>
      </c>
      <c r="H128" s="103">
        <f t="shared" si="27"/>
        <v>6.7616643335999997</v>
      </c>
      <c r="I128" s="103">
        <f t="shared" si="27"/>
        <v>6.0688851562666235</v>
      </c>
      <c r="J128" s="104">
        <f t="shared" si="27"/>
        <v>5.5149944015998074</v>
      </c>
      <c r="K128" s="27" t="s">
        <v>56</v>
      </c>
      <c r="L128" s="105">
        <f>G116</f>
        <v>1.8190004934085497</v>
      </c>
      <c r="M128" s="106" t="s">
        <v>79</v>
      </c>
      <c r="N128" s="27"/>
      <c r="O128" s="27"/>
      <c r="P128" s="27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  <c r="AI128" s="99"/>
    </row>
    <row r="129" spans="1:35">
      <c r="A129" s="27"/>
      <c r="B129" s="27"/>
      <c r="C129" s="53">
        <v>5</v>
      </c>
      <c r="D129" s="107">
        <f t="shared" ref="D129:J129" si="28">G107</f>
        <v>10.506666400001</v>
      </c>
      <c r="E129" s="103">
        <f t="shared" si="28"/>
        <v>8.841666</v>
      </c>
      <c r="F129" s="103">
        <f t="shared" si="28"/>
        <v>7.6528558096000001</v>
      </c>
      <c r="G129" s="103">
        <f t="shared" si="28"/>
        <v>6.7616643335999997</v>
      </c>
      <c r="H129" s="103">
        <f t="shared" si="28"/>
        <v>6.0688851562666235</v>
      </c>
      <c r="I129" s="103">
        <f t="shared" si="28"/>
        <v>5.5149944015998074</v>
      </c>
      <c r="J129" s="104">
        <f t="shared" si="28"/>
        <v>5.0621132153205712</v>
      </c>
      <c r="K129" s="27"/>
      <c r="L129" s="105">
        <f>H116</f>
        <v>1.5108098323681931</v>
      </c>
      <c r="M129" s="106" t="s">
        <v>80</v>
      </c>
      <c r="N129" s="27"/>
      <c r="O129" s="27"/>
      <c r="P129" s="27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</row>
    <row r="130" spans="1:35">
      <c r="A130" s="27"/>
      <c r="B130" s="27"/>
      <c r="C130" s="53">
        <v>6</v>
      </c>
      <c r="D130" s="107">
        <f t="shared" ref="D130:J130" si="29">H107</f>
        <v>8.841666</v>
      </c>
      <c r="E130" s="103">
        <f t="shared" si="29"/>
        <v>7.6528558096000001</v>
      </c>
      <c r="F130" s="103">
        <f t="shared" si="29"/>
        <v>6.7616643335999997</v>
      </c>
      <c r="G130" s="103">
        <f t="shared" si="29"/>
        <v>6.0688851562666235</v>
      </c>
      <c r="H130" s="103">
        <f t="shared" si="29"/>
        <v>5.5149944015998074</v>
      </c>
      <c r="I130" s="103">
        <f t="shared" si="29"/>
        <v>5.0621132153205712</v>
      </c>
      <c r="J130" s="104">
        <f t="shared" si="29"/>
        <v>4.6849890058649066</v>
      </c>
      <c r="K130" s="27"/>
      <c r="L130" s="105">
        <f>I116</f>
        <v>1.2949400410402836</v>
      </c>
      <c r="M130" s="106" t="s">
        <v>81</v>
      </c>
      <c r="N130" s="27"/>
      <c r="O130" s="27"/>
      <c r="P130" s="27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</row>
    <row r="131" spans="1:35">
      <c r="A131" s="27"/>
      <c r="B131" s="27"/>
      <c r="C131" s="53">
        <v>7</v>
      </c>
      <c r="D131" s="107">
        <f t="shared" ref="D131:J131" si="30">I107</f>
        <v>7.6528558096000001</v>
      </c>
      <c r="E131" s="103">
        <f t="shared" si="30"/>
        <v>6.7616643335999997</v>
      </c>
      <c r="F131" s="103">
        <f t="shared" si="30"/>
        <v>6.0688851562666235</v>
      </c>
      <c r="G131" s="103">
        <f t="shared" si="30"/>
        <v>5.5149944015998074</v>
      </c>
      <c r="H131" s="103">
        <f t="shared" si="30"/>
        <v>5.0621132153205712</v>
      </c>
      <c r="I131" s="103">
        <f t="shared" si="30"/>
        <v>4.6849890058649066</v>
      </c>
      <c r="J131" s="104">
        <f t="shared" si="30"/>
        <v>4.3661391895400987</v>
      </c>
      <c r="K131" s="27"/>
      <c r="L131" s="105">
        <f>J116</f>
        <v>1.1355123220220193</v>
      </c>
      <c r="M131" s="106" t="s">
        <v>77</v>
      </c>
      <c r="N131" s="27"/>
      <c r="O131" s="27"/>
      <c r="P131" s="27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</row>
    <row r="132" spans="1:35" ht="13" thickBot="1">
      <c r="A132" s="27"/>
      <c r="B132" s="27"/>
      <c r="C132" s="59"/>
      <c r="D132" s="108"/>
      <c r="E132" s="109"/>
      <c r="F132" s="109"/>
      <c r="G132" s="109"/>
      <c r="H132" s="109"/>
      <c r="I132" s="109"/>
      <c r="J132" s="110"/>
      <c r="K132" s="27"/>
      <c r="L132" s="13"/>
      <c r="M132" s="29"/>
      <c r="N132" s="27"/>
      <c r="O132" s="27"/>
      <c r="P132" s="27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I132" s="99"/>
    </row>
    <row r="133" spans="1:3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</row>
    <row r="134" spans="1:3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I134" s="99"/>
    </row>
    <row r="135" spans="1:3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</row>
    <row r="136" spans="1:3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</row>
    <row r="137" spans="1:35">
      <c r="A137" s="27"/>
      <c r="B137" s="27"/>
      <c r="C137" s="27"/>
      <c r="D137" s="111" t="s">
        <v>57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</row>
    <row r="138" spans="1:3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</row>
    <row r="139" spans="1:3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</row>
    <row r="140" spans="1:35">
      <c r="A140" s="27"/>
      <c r="B140" s="27"/>
      <c r="C140" s="27"/>
      <c r="D140" s="27"/>
      <c r="E140" s="27"/>
      <c r="F140" s="27"/>
      <c r="G140" s="112" t="s">
        <v>58</v>
      </c>
      <c r="H140" s="27"/>
      <c r="I140" s="27"/>
      <c r="J140" s="27"/>
      <c r="K140" s="27"/>
      <c r="L140" s="27"/>
      <c r="M140" s="27"/>
      <c r="N140" s="27"/>
      <c r="O140" s="27"/>
      <c r="P140" s="27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</row>
    <row r="141" spans="1:3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</row>
    <row r="142" spans="1:35">
      <c r="A142" s="27"/>
      <c r="B142" s="27"/>
      <c r="C142" s="27"/>
      <c r="D142" s="13"/>
      <c r="E142" s="13"/>
      <c r="F142" s="13"/>
      <c r="G142" s="13"/>
      <c r="H142" s="13"/>
      <c r="I142" s="13"/>
      <c r="J142" s="13"/>
      <c r="K142" s="27"/>
      <c r="L142" s="13"/>
      <c r="M142" s="27"/>
      <c r="N142" s="13"/>
      <c r="O142" s="27"/>
      <c r="P142" s="27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I142" s="99"/>
    </row>
    <row r="143" spans="1:35">
      <c r="A143" s="27"/>
      <c r="B143" s="27"/>
      <c r="C143" s="27"/>
      <c r="D143" s="113">
        <f t="array" ref="D143:J149">MINVERSE(D125:J131)</f>
        <v>0.64064962305326612</v>
      </c>
      <c r="E143" s="113">
        <v>-15.16821272539913</v>
      </c>
      <c r="F143" s="113">
        <v>112.51393208151464</v>
      </c>
      <c r="G143" s="113">
        <v>-371.3051025159931</v>
      </c>
      <c r="H143" s="113">
        <v>606.83578385336</v>
      </c>
      <c r="I143" s="113">
        <v>-480.9849953251325</v>
      </c>
      <c r="J143" s="113">
        <v>147.52369068602704</v>
      </c>
      <c r="K143" s="27"/>
      <c r="L143" s="105">
        <f t="shared" ref="L143:L149" si="31">L125</f>
        <v>4.8346181099831185</v>
      </c>
      <c r="M143" s="27"/>
      <c r="N143" s="114">
        <f t="array" ref="N143:N149">MMULT(D143:J149,L143:L149)</f>
        <v>-1.3699168675884721E-5</v>
      </c>
      <c r="O143" s="112" t="s">
        <v>22</v>
      </c>
      <c r="P143" s="27"/>
      <c r="Q143" s="115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I143" s="99"/>
    </row>
    <row r="144" spans="1:35">
      <c r="A144" s="27"/>
      <c r="B144" s="27"/>
      <c r="C144" s="27"/>
      <c r="D144" s="113">
        <v>-15.168212725442125</v>
      </c>
      <c r="E144" s="113">
        <v>542.59825913899465</v>
      </c>
      <c r="F144" s="113">
        <v>-4710.4954797105538</v>
      </c>
      <c r="G144" s="113">
        <v>16907.884970014959</v>
      </c>
      <c r="H144" s="113">
        <v>-29121.360673109157</v>
      </c>
      <c r="I144" s="113">
        <v>23925.662178285438</v>
      </c>
      <c r="J144" s="113">
        <v>-7532.5270525278356</v>
      </c>
      <c r="K144" s="27"/>
      <c r="L144" s="105">
        <f t="shared" si="31"/>
        <v>3.1122019014054407</v>
      </c>
      <c r="M144" s="27"/>
      <c r="N144" s="114">
        <v>0.25129716825358628</v>
      </c>
      <c r="O144" s="112" t="s">
        <v>24</v>
      </c>
      <c r="P144" s="27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  <c r="AI144" s="99"/>
    </row>
    <row r="145" spans="1:35">
      <c r="A145" s="27"/>
      <c r="B145" s="27"/>
      <c r="C145" s="27"/>
      <c r="D145" s="113">
        <v>112.51393208237531</v>
      </c>
      <c r="E145" s="113">
        <v>-4710.4954797295322</v>
      </c>
      <c r="F145" s="113">
        <v>44110.404578878246</v>
      </c>
      <c r="G145" s="113">
        <v>-165803.36812870071</v>
      </c>
      <c r="H145" s="113">
        <v>294639.55139737128</v>
      </c>
      <c r="I145" s="113">
        <v>-247613.45306953727</v>
      </c>
      <c r="J145" s="113">
        <v>79305.978854358764</v>
      </c>
      <c r="K145" s="27"/>
      <c r="L145" s="105">
        <f t="shared" si="31"/>
        <v>2.2933309908159658</v>
      </c>
      <c r="M145" s="27"/>
      <c r="N145" s="114">
        <v>-2.9316787869902328E-2</v>
      </c>
      <c r="O145" s="112" t="s">
        <v>26</v>
      </c>
      <c r="P145" s="27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  <c r="AI145" s="99"/>
    </row>
    <row r="146" spans="1:35">
      <c r="A146" s="27"/>
      <c r="B146" s="27"/>
      <c r="C146" s="27"/>
      <c r="D146" s="113">
        <v>-371.30510252069536</v>
      </c>
      <c r="E146" s="113">
        <v>16907.884970153857</v>
      </c>
      <c r="F146" s="113">
        <v>-165803.36812935051</v>
      </c>
      <c r="G146" s="113">
        <v>642616.98731296801</v>
      </c>
      <c r="H146" s="113">
        <v>-1167406.8452213071</v>
      </c>
      <c r="I146" s="113">
        <v>997571.39939329145</v>
      </c>
      <c r="J146" s="113">
        <v>-323704.01963165664</v>
      </c>
      <c r="K146" s="27" t="s">
        <v>59</v>
      </c>
      <c r="L146" s="105">
        <f t="shared" si="31"/>
        <v>1.8190004934085497</v>
      </c>
      <c r="M146" s="27" t="s">
        <v>56</v>
      </c>
      <c r="N146" s="114">
        <v>-0.24638094758847728</v>
      </c>
      <c r="O146" s="112" t="s">
        <v>28</v>
      </c>
      <c r="P146" s="27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</row>
    <row r="147" spans="1:35">
      <c r="A147" s="27"/>
      <c r="B147" s="27"/>
      <c r="C147" s="27"/>
      <c r="D147" s="113">
        <v>606.835783863855</v>
      </c>
      <c r="E147" s="113">
        <v>-29121.360673464518</v>
      </c>
      <c r="F147" s="113">
        <v>294639.55139958765</v>
      </c>
      <c r="G147" s="113">
        <v>-1167406.8452253446</v>
      </c>
      <c r="H147" s="113">
        <v>2156172.9811601583</v>
      </c>
      <c r="I147" s="113">
        <v>-1866488.1665604671</v>
      </c>
      <c r="J147" s="113">
        <v>611995.66399368667</v>
      </c>
      <c r="K147" s="27"/>
      <c r="L147" s="105">
        <f t="shared" si="31"/>
        <v>1.5108098323681931</v>
      </c>
      <c r="M147" s="27"/>
      <c r="N147" s="114">
        <v>0.34678762138355523</v>
      </c>
      <c r="O147" s="112" t="s">
        <v>29</v>
      </c>
      <c r="P147" s="27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</row>
    <row r="148" spans="1:35">
      <c r="A148" s="27"/>
      <c r="B148" s="27"/>
      <c r="C148" s="27"/>
      <c r="D148" s="113">
        <v>-480.98499533572209</v>
      </c>
      <c r="E148" s="113">
        <v>23925.662178666666</v>
      </c>
      <c r="F148" s="113">
        <v>-247613.45307220228</v>
      </c>
      <c r="G148" s="113">
        <v>997571.39939975261</v>
      </c>
      <c r="H148" s="113">
        <v>-1866488.1665659517</v>
      </c>
      <c r="I148" s="113">
        <v>1632575.9042404217</v>
      </c>
      <c r="J148" s="113">
        <v>-539878.62202829483</v>
      </c>
      <c r="K148" s="27"/>
      <c r="L148" s="105">
        <f t="shared" si="31"/>
        <v>1.2949400410402836</v>
      </c>
      <c r="M148" s="27"/>
      <c r="N148" s="114">
        <v>-0.21871692722197622</v>
      </c>
      <c r="O148" s="112" t="s">
        <v>30</v>
      </c>
      <c r="P148" s="27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  <c r="AI148" s="99"/>
    </row>
    <row r="149" spans="1:35">
      <c r="A149" s="27"/>
      <c r="B149" s="27"/>
      <c r="C149" s="27"/>
      <c r="D149" s="113">
        <v>147.52369068989461</v>
      </c>
      <c r="E149" s="113">
        <v>-7532.5270526730692</v>
      </c>
      <c r="F149" s="113">
        <v>79305.978855440873</v>
      </c>
      <c r="G149" s="113">
        <v>-323704.01963460498</v>
      </c>
      <c r="H149" s="113">
        <v>611995.66399702081</v>
      </c>
      <c r="I149" s="113">
        <v>-539878.62202962523</v>
      </c>
      <c r="J149" s="113">
        <v>179807.71027975035</v>
      </c>
      <c r="K149" s="27"/>
      <c r="L149" s="105">
        <f t="shared" si="31"/>
        <v>1.1355123220220193</v>
      </c>
      <c r="M149" s="27"/>
      <c r="N149" s="114">
        <v>5.5506252014311031E-2</v>
      </c>
      <c r="O149" s="112" t="s">
        <v>31</v>
      </c>
      <c r="P149" s="27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99"/>
      <c r="AE149" s="99"/>
      <c r="AF149" s="99"/>
      <c r="AG149" s="99"/>
      <c r="AH149" s="99"/>
      <c r="AI149" s="99"/>
    </row>
    <row r="150" spans="1:35">
      <c r="A150" s="27"/>
      <c r="B150" s="27"/>
      <c r="C150" s="27"/>
      <c r="D150" s="13"/>
      <c r="E150" s="13"/>
      <c r="F150" s="13"/>
      <c r="G150" s="13"/>
      <c r="H150" s="13"/>
      <c r="I150" s="13"/>
      <c r="J150" s="13"/>
      <c r="K150" s="27"/>
      <c r="L150" s="13"/>
      <c r="M150" s="27"/>
      <c r="N150" s="13"/>
      <c r="O150" s="27"/>
      <c r="P150" s="27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99"/>
    </row>
    <row r="151" spans="1:3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</row>
    <row r="152" spans="1:3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  <c r="AD152" s="99"/>
      <c r="AE152" s="99"/>
      <c r="AF152" s="99"/>
      <c r="AG152" s="99"/>
      <c r="AH152" s="99"/>
      <c r="AI152" s="99"/>
    </row>
    <row r="153" spans="1:3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  <c r="AC153" s="99"/>
      <c r="AD153" s="99"/>
      <c r="AE153" s="99"/>
      <c r="AF153" s="99"/>
      <c r="AG153" s="99"/>
      <c r="AH153" s="99"/>
      <c r="AI153" s="99"/>
    </row>
    <row r="154" spans="1:3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9"/>
      <c r="AG154" s="99"/>
      <c r="AH154" s="99"/>
      <c r="AI154" s="99"/>
    </row>
    <row r="155" spans="1:35"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9"/>
      <c r="AG155" s="99"/>
      <c r="AH155" s="99"/>
      <c r="AI155" s="99"/>
    </row>
    <row r="156" spans="1:35"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</row>
    <row r="157" spans="1:35"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</row>
    <row r="158" spans="1:35"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99"/>
      <c r="AH158" s="99"/>
      <c r="AI158" s="99"/>
    </row>
  </sheetData>
  <pageMargins left="0.25" right="0.25" top="0.75" bottom="0.4" header="0.5" footer="0.5"/>
  <pageSetup scale="70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GRAN_Method</vt:lpstr>
      <vt:lpstr>3rd Order (Y_Factor)</vt:lpstr>
      <vt:lpstr>6th Order (Y_Factor)</vt:lpstr>
    </vt:vector>
  </TitlesOfParts>
  <Manager>President, CEO &amp; Super Genius</Manager>
  <Company>GRAN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Ellipse Perimeter</dc:title>
  <dc:subject/>
  <dc:creator>Bill Gran</dc:creator>
  <cp:keywords/>
  <dc:description>Mange Takk!</dc:description>
  <cp:lastModifiedBy>Bill Gran</cp:lastModifiedBy>
  <cp:lastPrinted>2012-01-21T18:07:06Z</cp:lastPrinted>
  <dcterms:created xsi:type="dcterms:W3CDTF">2011-08-23T00:46:58Z</dcterms:created>
  <dcterms:modified xsi:type="dcterms:W3CDTF">2012-01-22T06:12:25Z</dcterms:modified>
  <cp:category/>
</cp:coreProperties>
</file>